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G:\My Drive\Optima Nutrition\Applications\Papua New Guinea\Databook\Multi-region analysis\"/>
    </mc:Choice>
  </mc:AlternateContent>
  <bookViews>
    <workbookView xWindow="-11520" yWindow="-14475" windowWidth="20730" windowHeight="11760" tabRatio="961" firstSheet="1" activeTab="6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state="hidden" r:id="rId6"/>
    <sheet name="IYCF packages" sheetId="55" r:id="rId7"/>
    <sheet name="Treatment of SAM" sheetId="60" r:id="rId8"/>
    <sheet name="Programs cost and coverage" sheetId="56" r:id="rId9"/>
    <sheet name="IYCF cost" sheetId="57" r:id="rId10"/>
    <sheet name="Program dependencies" sheetId="58" r:id="rId11"/>
    <sheet name="Reference programs" sheetId="59" state="hidden" r:id="rId12"/>
    <sheet name="Incidence of conditions" sheetId="7" state="hidden" r:id="rId13"/>
    <sheet name="Programs target population" sheetId="21" r:id="rId14"/>
    <sheet name="Cost curve options" sheetId="61" state="hidden" r:id="rId15"/>
    <sheet name="Programs family planning" sheetId="54" state="hidden" r:id="rId16"/>
    <sheet name="Programs impacted population" sheetId="62" state="hidden" r:id="rId17"/>
    <sheet name="Program risk areas" sheetId="63" state="hidden" r:id="rId18"/>
    <sheet name="Population risk areas" sheetId="64" state="hidden" r:id="rId19"/>
    <sheet name="IYCF odds ratios" sheetId="65" state="hidden" r:id="rId20"/>
    <sheet name="Birth outcome risks" sheetId="66" state="hidden" r:id="rId21"/>
    <sheet name="Relative risks" sheetId="67" state="hidden" r:id="rId22"/>
    <sheet name="Odds ratios" sheetId="68" state="hidden" r:id="rId23"/>
    <sheet name="Programs birth outcomes" sheetId="69" state="hidden" r:id="rId24"/>
    <sheet name="Programs anemia" sheetId="70" state="hidden" r:id="rId25"/>
    <sheet name="Programs wasting" sheetId="71" state="hidden" r:id="rId26"/>
    <sheet name="Programs for children" sheetId="72" state="hidden" r:id="rId27"/>
    <sheet name="Programs for PW" sheetId="73" state="hidden" r:id="rId28"/>
  </sheets>
  <definedNames>
    <definedName name="_xlnm._FilterDatabase" localSheetId="20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62913"/>
</workbook>
</file>

<file path=xl/calcChain.xml><?xml version="1.0" encoding="utf-8"?>
<calcChain xmlns="http://schemas.openxmlformats.org/spreadsheetml/2006/main">
  <c r="C58" i="1" l="1"/>
  <c r="E31" i="21" l="1"/>
  <c r="D5" i="65"/>
  <c r="C35" i="4"/>
  <c r="D23" i="4"/>
  <c r="E23" i="4"/>
  <c r="F23" i="4"/>
  <c r="C23" i="4"/>
  <c r="C11" i="4"/>
  <c r="A1" i="4"/>
  <c r="M23" i="21"/>
  <c r="N23" i="21"/>
  <c r="O23" i="21"/>
  <c r="L23" i="21"/>
  <c r="G11" i="21"/>
  <c r="F11" i="21"/>
  <c r="E11" i="21"/>
  <c r="D11" i="21"/>
  <c r="C11" i="21"/>
  <c r="E7" i="21"/>
  <c r="G7" i="21"/>
  <c r="F7" i="21"/>
  <c r="D7" i="21"/>
  <c r="C7" i="21"/>
  <c r="E20" i="55"/>
  <c r="E19" i="55"/>
  <c r="E18" i="55"/>
  <c r="E17" i="55"/>
  <c r="E16" i="55"/>
  <c r="E13" i="55"/>
  <c r="E12" i="55"/>
  <c r="E11" i="55"/>
  <c r="E10" i="55"/>
  <c r="E9" i="55"/>
  <c r="H2" i="2"/>
  <c r="I2" i="2" s="1"/>
  <c r="C33" i="1"/>
  <c r="A1" i="50"/>
  <c r="A1" i="5"/>
  <c r="B1" i="56"/>
  <c r="D6" i="57"/>
  <c r="C6" i="57"/>
  <c r="D5" i="57"/>
  <c r="C5" i="57"/>
  <c r="D4" i="57"/>
  <c r="C4" i="57"/>
  <c r="D3" i="57"/>
  <c r="C3" i="57"/>
  <c r="C2" i="57"/>
  <c r="A2" i="2"/>
  <c r="A34" i="2"/>
  <c r="A26" i="2"/>
  <c r="A18" i="2"/>
  <c r="A16" i="2"/>
  <c r="A38" i="2"/>
  <c r="A30" i="2"/>
  <c r="A2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I23" i="2"/>
  <c r="G24" i="2"/>
  <c r="H24" i="2"/>
  <c r="G25" i="2"/>
  <c r="H25" i="2"/>
  <c r="I25" i="2"/>
  <c r="G26" i="2"/>
  <c r="H26" i="2"/>
  <c r="G27" i="2"/>
  <c r="H27" i="2"/>
  <c r="G28" i="2"/>
  <c r="H28" i="2"/>
  <c r="G29" i="2"/>
  <c r="H29" i="2"/>
  <c r="G30" i="2"/>
  <c r="H30" i="2"/>
  <c r="G31" i="2"/>
  <c r="H31" i="2"/>
  <c r="I31" i="2"/>
  <c r="G32" i="2"/>
  <c r="H32" i="2"/>
  <c r="G33" i="2"/>
  <c r="H33" i="2"/>
  <c r="I33" i="2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32" i="2"/>
  <c r="I24" i="2"/>
  <c r="I39" i="2"/>
  <c r="I37" i="2"/>
  <c r="I35" i="2"/>
  <c r="I17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7" i="21"/>
  <c r="J17" i="21"/>
  <c r="K17" i="21"/>
  <c r="H17" i="21"/>
  <c r="K16" i="21"/>
  <c r="J16" i="21"/>
  <c r="I16" i="21"/>
  <c r="H16" i="21"/>
  <c r="E9" i="21"/>
  <c r="F9" i="21"/>
  <c r="G9" i="21"/>
  <c r="D9" i="21"/>
  <c r="I21" i="2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3" i="21"/>
  <c r="O29" i="2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C48" i="1"/>
  <c r="H3" i="2"/>
  <c r="H4" i="2"/>
  <c r="H5" i="2"/>
  <c r="H6" i="2"/>
  <c r="H7" i="2"/>
  <c r="H8" i="2"/>
  <c r="H9" i="2"/>
  <c r="I9" i="2" s="1"/>
  <c r="H10" i="2"/>
  <c r="H11" i="2"/>
  <c r="H12" i="2"/>
  <c r="H13" i="2"/>
  <c r="H14" i="2"/>
  <c r="I14" i="2" s="1"/>
  <c r="H15" i="2"/>
  <c r="C20" i="1"/>
  <c r="G3" i="2"/>
  <c r="I3" i="2"/>
  <c r="G4" i="2"/>
  <c r="I4" i="2"/>
  <c r="G5" i="2"/>
  <c r="G6" i="2"/>
  <c r="I6" i="2" s="1"/>
  <c r="G7" i="2"/>
  <c r="I7" i="2"/>
  <c r="G8" i="2"/>
  <c r="I8" i="2" s="1"/>
  <c r="G9" i="2"/>
  <c r="G10" i="2"/>
  <c r="G11" i="2"/>
  <c r="I11" i="2"/>
  <c r="G12" i="2"/>
  <c r="I12" i="2" s="1"/>
  <c r="G13" i="2"/>
  <c r="G14" i="2"/>
  <c r="G15" i="2"/>
  <c r="G2" i="2"/>
  <c r="I5" i="2"/>
  <c r="I13" i="2"/>
  <c r="I15" i="2"/>
  <c r="I10" i="2" l="1"/>
</calcChain>
</file>

<file path=xl/comments1.xml><?xml version="1.0" encoding="utf-8"?>
<comments xmlns="http://schemas.openxmlformats.org/spreadsheetml/2006/main">
  <authors>
    <author>Optima team</author>
    <author>Nick Scott</author>
  </authors>
  <commentList>
    <comment ref="C7" authorId="0" shapeId="0">
      <text>
        <r>
          <rPr>
            <b/>
            <sz val="9"/>
            <color indexed="81"/>
            <rFont val="Tahoma"/>
            <family val="2"/>
          </rPr>
          <t>Source:</t>
        </r>
        <r>
          <rPr>
            <sz val="9"/>
            <color indexed="81"/>
            <rFont val="Tahoma"/>
            <family val="2"/>
          </rPr>
          <t xml:space="preserve"> WPP Annual population both sexes
and 2011 Census
</t>
        </r>
        <r>
          <rPr>
            <b/>
            <sz val="9"/>
            <color indexed="81"/>
            <rFont val="Tahoma"/>
            <family val="2"/>
          </rPr>
          <t>Value</t>
        </r>
        <r>
          <rPr>
            <sz val="9"/>
            <color indexed="81"/>
            <rFont val="Tahoma"/>
            <family val="2"/>
          </rPr>
          <t>: 0-4 population 2017 (thousands)
1,042,546 
20% of total population lives in Southern region
=0.20*1,042,546 
=208,509</t>
        </r>
      </text>
    </comment>
    <comment ref="C8" authorId="0" shapeId="0">
      <text>
        <r>
          <rPr>
            <b/>
            <sz val="9"/>
            <color indexed="81"/>
            <rFont val="Tahoma"/>
            <family val="2"/>
          </rPr>
          <t xml:space="preserve">Missing data FAO /WB
Source: </t>
        </r>
        <r>
          <rPr>
            <sz val="9"/>
            <color indexed="81"/>
            <rFont val="Tahoma"/>
            <family val="2"/>
          </rPr>
          <t>Asia Development Bank Country Partnership Strategy PNG 2016-2020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>https://www.adb.org/sites/default/files/institutional-document/157927/cps-png-2016-2020.pdf ["Country at a glance" page 5]</t>
        </r>
        <r>
          <rPr>
            <b/>
            <sz val="9"/>
            <color indexed="81"/>
            <rFont val="Tahoma"/>
            <family val="2"/>
          </rPr>
          <t xml:space="preserve">
Value:</t>
        </r>
        <r>
          <rPr>
            <sz val="9"/>
            <color indexed="81"/>
            <rFont val="Tahoma"/>
            <family val="2"/>
          </rPr>
          <t xml:space="preserve"> Population below poverty line (%) 39.9 [2009]</t>
        </r>
      </text>
    </comment>
    <comment ref="C9" authorId="0" shapeId="0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MIS 2016-2017
page 2/3 
</t>
        </r>
        <r>
          <rPr>
            <b/>
            <sz val="9"/>
            <color indexed="81"/>
            <rFont val="Tahoma"/>
            <family val="2"/>
          </rPr>
          <t>Value:</t>
        </r>
        <r>
          <rPr>
            <sz val="9"/>
            <color indexed="81"/>
            <rFont val="Tahoma"/>
            <family val="2"/>
          </rPr>
          <t xml:space="preserve"> "Malaria has been endemic throughout PNG[…] Below 1600 m altitude, 7.1% of the population was infected with malaria parasites, in
highland areas at 1600 m and above, only 0.9%"</t>
        </r>
      </text>
    </comment>
    <comment ref="C10" authorId="0" shapeId="0">
      <text>
        <r>
          <rPr>
            <b/>
            <sz val="9"/>
            <color indexed="81"/>
            <rFont val="Tahoma"/>
            <family val="2"/>
          </rPr>
          <t xml:space="preserve">Source: UNESCO institute 
</t>
        </r>
        <r>
          <rPr>
            <sz val="9"/>
            <color indexed="81"/>
            <rFont val="Tahoma"/>
            <family val="2"/>
          </rPr>
          <t xml:space="preserve">http://uis.unesco.org/country/PG
</t>
        </r>
        <r>
          <rPr>
            <b/>
            <sz val="9"/>
            <color indexed="81"/>
            <rFont val="Tahoma"/>
            <family val="2"/>
          </rPr>
          <t xml:space="preserve">Value: </t>
        </r>
        <r>
          <rPr>
            <sz val="9"/>
            <color indexed="81"/>
            <rFont val="Tahoma"/>
            <family val="2"/>
          </rPr>
          <t>Participation in Education - Secondary education by sex</t>
        </r>
        <r>
          <rPr>
            <b/>
            <sz val="9"/>
            <color indexed="81"/>
            <rFont val="Tahoma"/>
            <family val="2"/>
          </rPr>
          <t xml:space="preserve">
Net enrolment rate (%) female: </t>
        </r>
        <r>
          <rPr>
            <sz val="9"/>
            <color indexed="81"/>
            <rFont val="Tahoma"/>
            <family val="2"/>
          </rPr>
          <t>29.96%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</rPr>
          <t>Source:</t>
        </r>
        <r>
          <rPr>
            <sz val="9"/>
            <color indexed="81"/>
            <rFont val="Tahoma"/>
            <family val="2"/>
          </rPr>
          <t xml:space="preserve"> National Health Information System found in SPAR 2016
</t>
        </r>
        <r>
          <rPr>
            <b/>
            <sz val="9"/>
            <color indexed="81"/>
            <rFont val="Tahoma"/>
            <family val="2"/>
          </rPr>
          <t>Value</t>
        </r>
        <r>
          <rPr>
            <sz val="9"/>
            <color indexed="81"/>
            <rFont val="Tahoma"/>
            <family val="2"/>
          </rPr>
          <t>: At least one visit to antenatal care (%) 2016
Southern: 63%</t>
        </r>
      </text>
    </comment>
    <comment ref="C12" authorId="0" shapeId="0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>PNG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family val="2"/>
          </rPr>
          <t xml:space="preserve">MIS 2016-2017 
page 44
</t>
        </r>
        <r>
          <rPr>
            <b/>
            <sz val="9"/>
            <color indexed="81"/>
            <rFont val="Tahoma"/>
            <family val="2"/>
          </rPr>
          <t xml:space="preserve">Value: </t>
        </r>
        <r>
          <rPr>
            <sz val="9"/>
            <color indexed="81"/>
            <rFont val="Tahoma"/>
            <family val="2"/>
          </rPr>
          <t>Children under age 5 with fever seeking care in health facilities (44.5%)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PNG DHS 2006 page 89
</t>
        </r>
        <r>
          <rPr>
            <b/>
            <sz val="9"/>
            <color indexed="81"/>
            <rFont val="Tahoma"/>
            <family val="2"/>
          </rPr>
          <t>Value:</t>
        </r>
        <r>
          <rPr>
            <sz val="9"/>
            <color indexed="81"/>
            <rFont val="Tahoma"/>
            <family val="2"/>
          </rPr>
          <t xml:space="preserve"> Unmet need for family planning among currently married women 29.8%
FYI: Unmet need for men is 22% (pg 90)</t>
        </r>
      </text>
    </comment>
    <comment ref="C16" authorId="0" shapeId="0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PNG DHS 2006
page 3
</t>
        </r>
        <r>
          <rPr>
            <b/>
            <sz val="9"/>
            <color indexed="81"/>
            <rFont val="Tahoma"/>
            <family val="2"/>
          </rPr>
          <t xml:space="preserve">Value: </t>
        </r>
        <r>
          <rPr>
            <sz val="9"/>
            <color indexed="81"/>
            <rFont val="Tahoma"/>
            <family val="2"/>
          </rPr>
          <t>"The traditional economy through subsistence farming supports about 80 percent of the population"</t>
        </r>
      </text>
    </comment>
    <comment ref="C23" authorId="1" shapeId="0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C24" authorId="1" shapeId="0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C25" authorId="1" shapeId="0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C26" authorId="1" shapeId="0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C29" authorId="1" shapeId="0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C30" authorId="1" shapeId="0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C31" authorId="1" shapeId="0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C32" authorId="1" shapeId="0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C37" authorId="0" shapeId="0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WHO GHO PNG 
http://apps.who.int/gho/data/node.country.country-PNG?lang=en 
</t>
        </r>
        <r>
          <rPr>
            <b/>
            <sz val="9"/>
            <color indexed="81"/>
            <rFont val="Tahoma"/>
            <family val="2"/>
          </rPr>
          <t>Value:</t>
        </r>
        <r>
          <rPr>
            <sz val="9"/>
            <color indexed="81"/>
            <rFont val="Tahoma"/>
            <family val="2"/>
          </rPr>
          <t xml:space="preserve"> neonatal mortality rate per 1000 live births = 24.7
</t>
        </r>
      </text>
    </comment>
    <comment ref="C38" authorId="0" shapeId="0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WHO GHO PNG 
http://apps.who.int/gho/data/node.country.country-PNG?lang=en 
</t>
        </r>
        <r>
          <rPr>
            <b/>
            <sz val="9"/>
            <color indexed="81"/>
            <rFont val="Tahoma"/>
            <family val="2"/>
          </rPr>
          <t>Value:</t>
        </r>
        <r>
          <rPr>
            <sz val="9"/>
            <color indexed="81"/>
            <rFont val="Tahoma"/>
            <family val="2"/>
          </rPr>
          <t xml:space="preserve"> infant mortality rate per 1000 live births = 44.4
</t>
        </r>
      </text>
    </comment>
    <comment ref="C39" authorId="0" shapeId="0">
      <text>
        <r>
          <rPr>
            <b/>
            <sz val="9"/>
            <color indexed="81"/>
            <rFont val="Tahoma"/>
            <family val="2"/>
          </rPr>
          <t>Source:</t>
        </r>
        <r>
          <rPr>
            <sz val="9"/>
            <color indexed="81"/>
            <rFont val="Tahoma"/>
            <family val="2"/>
          </rPr>
          <t xml:space="preserve"> WHO GHO PNG 
http://apps.who.int/gho/data/node.country.country-PNG?lang=en 
</t>
        </r>
        <r>
          <rPr>
            <b/>
            <sz val="9"/>
            <color indexed="81"/>
            <rFont val="Tahoma"/>
            <family val="2"/>
          </rPr>
          <t xml:space="preserve">
Value: </t>
        </r>
        <r>
          <rPr>
            <sz val="9"/>
            <color indexed="81"/>
            <rFont val="Tahoma"/>
            <family val="2"/>
          </rPr>
          <t>under five mortality rate per 1000 live births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family val="2"/>
          </rPr>
          <t xml:space="preserve">57.1
</t>
        </r>
      </text>
    </comment>
    <comment ref="C40" authorId="0" shapeId="0">
      <text>
        <r>
          <rPr>
            <b/>
            <sz val="9"/>
            <color indexed="81"/>
            <rFont val="Tahoma"/>
            <family val="2"/>
          </rPr>
          <t>Source:</t>
        </r>
        <r>
          <rPr>
            <sz val="9"/>
            <color indexed="81"/>
            <rFont val="Tahoma"/>
            <family val="2"/>
          </rPr>
          <t xml:space="preserve"> Mola G, Kirby B. Discrepancies between national maternal mortality data and international estimates: the experience of Papua New Guinea. Reproductive Health Matters. 2013;21(42):191-202.
</t>
        </r>
        <r>
          <rPr>
            <b/>
            <sz val="9"/>
            <color indexed="81"/>
            <rFont val="Tahoma"/>
            <family val="2"/>
          </rPr>
          <t xml:space="preserve">Value: </t>
        </r>
        <r>
          <rPr>
            <sz val="9"/>
            <color indexed="81"/>
            <rFont val="Tahoma"/>
            <family val="2"/>
          </rPr>
          <t xml:space="preserve">In 2015 MMR per 100,000 live births = 500
Maternal mortality per 1000 live births = (500/100) 
= 5
</t>
        </r>
        <r>
          <rPr>
            <b/>
            <sz val="9"/>
            <color indexed="81"/>
            <rFont val="Tahoma"/>
            <family val="2"/>
          </rPr>
          <t xml:space="preserve">Note: </t>
        </r>
        <r>
          <rPr>
            <sz val="9"/>
            <color indexed="81"/>
            <rFont val="Tahoma"/>
            <family val="2"/>
          </rPr>
          <t>Ranges from 238 (WHO estimates) to 755 (official Government figure from DHS 2006) per 100,000 births</t>
        </r>
      </text>
    </comment>
    <comment ref="C41" authorId="0" shapeId="0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LiST
</t>
        </r>
        <r>
          <rPr>
            <b/>
            <sz val="9"/>
            <color indexed="81"/>
            <rFont val="Tahoma"/>
            <family val="2"/>
          </rPr>
          <t>Value:</t>
        </r>
        <r>
          <rPr>
            <sz val="9"/>
            <color indexed="81"/>
            <rFont val="Tahoma"/>
            <family val="2"/>
          </rPr>
          <t xml:space="preserve"> Percent of pregnancies ending in spontaneous abortion (13%)</t>
        </r>
      </text>
    </comment>
    <comment ref="C42" authorId="0" shapeId="0">
      <text>
        <r>
          <rPr>
            <b/>
            <sz val="9"/>
            <color indexed="81"/>
            <rFont val="Tahoma"/>
            <family val="2"/>
          </rPr>
          <t>Source:</t>
        </r>
        <r>
          <rPr>
            <sz val="9"/>
            <color indexed="81"/>
            <rFont val="Tahoma"/>
            <family val="2"/>
          </rPr>
          <t xml:space="preserve"> WHO GHO 
http://apps.who.int/gho/data/node.country.country-PNG?lang=en
</t>
        </r>
        <r>
          <rPr>
            <b/>
            <sz val="9"/>
            <color indexed="81"/>
            <rFont val="Tahoma"/>
            <family val="2"/>
          </rPr>
          <t xml:space="preserve">
Value</t>
        </r>
        <r>
          <rPr>
            <sz val="9"/>
            <color indexed="81"/>
            <rFont val="Tahoma"/>
            <family val="2"/>
          </rPr>
          <t>: Number of neonatal deaths (thousands): 5 in 2015</t>
        </r>
      </text>
    </comment>
    <comment ref="C51" authorId="0" shapeId="0">
      <text>
        <r>
          <rPr>
            <b/>
            <sz val="9"/>
            <color indexed="81"/>
            <rFont val="Tahoma"/>
            <family val="2"/>
          </rPr>
          <t>Source:</t>
        </r>
        <r>
          <rPr>
            <sz val="9"/>
            <color indexed="81"/>
            <rFont val="Tahoma"/>
            <family val="2"/>
          </rPr>
          <t xml:space="preserve"> LiST Incidence of diarrhea number of cases per child-year (same value is listed for each age group)</t>
        </r>
        <r>
          <rPr>
            <b/>
            <sz val="9"/>
            <color indexed="81"/>
            <rFont val="Tahoma"/>
            <family val="2"/>
          </rPr>
          <t xml:space="preserve">
Alternative Source: </t>
        </r>
        <r>
          <rPr>
            <sz val="9"/>
            <color indexed="81"/>
            <rFont val="Tahoma"/>
            <family val="2"/>
          </rPr>
          <t>PNG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family val="2"/>
          </rPr>
          <t xml:space="preserve">DHS 2006
</t>
        </r>
        <r>
          <rPr>
            <b/>
            <sz val="9"/>
            <color indexed="81"/>
            <rFont val="Tahoma"/>
            <family val="2"/>
          </rPr>
          <t xml:space="preserve">Value: </t>
        </r>
        <r>
          <rPr>
            <sz val="9"/>
            <color indexed="81"/>
            <rFont val="Tahoma"/>
            <family val="2"/>
          </rPr>
          <t xml:space="preserve">Table 8.10 presented as percentage of diarrhoea prevalence in the past two weeks or past 24 hours
</t>
        </r>
      </text>
    </comment>
    <comment ref="C52" authorId="0" shapeId="0">
      <text>
        <r>
          <rPr>
            <b/>
            <sz val="9"/>
            <color indexed="81"/>
            <rFont val="Tahoma"/>
            <family val="2"/>
          </rPr>
          <t>Source:</t>
        </r>
        <r>
          <rPr>
            <sz val="9"/>
            <color indexed="81"/>
            <rFont val="Tahoma"/>
            <family val="2"/>
          </rPr>
          <t xml:space="preserve"> LiST Incidence of diarrhea number of cases per child-year (same value is listed for each age group)</t>
        </r>
        <r>
          <rPr>
            <b/>
            <sz val="9"/>
            <color indexed="81"/>
            <rFont val="Tahoma"/>
            <family val="2"/>
          </rPr>
          <t xml:space="preserve">
Alternative Source: </t>
        </r>
        <r>
          <rPr>
            <sz val="9"/>
            <color indexed="81"/>
            <rFont val="Tahoma"/>
            <family val="2"/>
          </rPr>
          <t>PNG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family val="2"/>
          </rPr>
          <t xml:space="preserve">DHS 2006
</t>
        </r>
        <r>
          <rPr>
            <b/>
            <sz val="9"/>
            <color indexed="81"/>
            <rFont val="Tahoma"/>
            <family val="2"/>
          </rPr>
          <t xml:space="preserve">Value: </t>
        </r>
        <r>
          <rPr>
            <sz val="9"/>
            <color indexed="81"/>
            <rFont val="Tahoma"/>
            <family val="2"/>
          </rPr>
          <t xml:space="preserve">Table 8.10 presented as percentage of diarrhoea prevalence in the past two weeks or past 24 hours
</t>
        </r>
      </text>
    </comment>
    <comment ref="C53" authorId="0" shapeId="0">
      <text>
        <r>
          <rPr>
            <b/>
            <sz val="9"/>
            <color indexed="81"/>
            <rFont val="Tahoma"/>
            <family val="2"/>
          </rPr>
          <t>Source:</t>
        </r>
        <r>
          <rPr>
            <sz val="9"/>
            <color indexed="81"/>
            <rFont val="Tahoma"/>
            <family val="2"/>
          </rPr>
          <t xml:space="preserve"> LiST Incidence of diarrhea number of cases per child-year (same value is listed for each age group)</t>
        </r>
        <r>
          <rPr>
            <b/>
            <sz val="9"/>
            <color indexed="81"/>
            <rFont val="Tahoma"/>
            <family val="2"/>
          </rPr>
          <t xml:space="preserve">
Alternative Source: </t>
        </r>
        <r>
          <rPr>
            <sz val="9"/>
            <color indexed="81"/>
            <rFont val="Tahoma"/>
            <family val="2"/>
          </rPr>
          <t>PNG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family val="2"/>
          </rPr>
          <t xml:space="preserve">DHS 2006
</t>
        </r>
        <r>
          <rPr>
            <b/>
            <sz val="9"/>
            <color indexed="81"/>
            <rFont val="Tahoma"/>
            <family val="2"/>
          </rPr>
          <t xml:space="preserve">Value: </t>
        </r>
        <r>
          <rPr>
            <sz val="9"/>
            <color indexed="81"/>
            <rFont val="Tahoma"/>
            <family val="2"/>
          </rPr>
          <t xml:space="preserve">Table 8.10 presented as percentage of diarrhoea prevalence in the past two weeks or past 24 hours
</t>
        </r>
      </text>
    </comment>
    <comment ref="C54" authorId="0" shapeId="0">
      <text>
        <r>
          <rPr>
            <b/>
            <sz val="9"/>
            <color indexed="81"/>
            <rFont val="Tahoma"/>
            <family val="2"/>
          </rPr>
          <t>Source:</t>
        </r>
        <r>
          <rPr>
            <sz val="9"/>
            <color indexed="81"/>
            <rFont val="Tahoma"/>
            <family val="2"/>
          </rPr>
          <t xml:space="preserve"> LiST Incidence of diarrhea number of cases per child-year (same value is listed for each age group)</t>
        </r>
        <r>
          <rPr>
            <b/>
            <sz val="9"/>
            <color indexed="81"/>
            <rFont val="Tahoma"/>
            <family val="2"/>
          </rPr>
          <t xml:space="preserve">
Alternative Source: </t>
        </r>
        <r>
          <rPr>
            <sz val="9"/>
            <color indexed="81"/>
            <rFont val="Tahoma"/>
            <family val="2"/>
          </rPr>
          <t>PNG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family val="2"/>
          </rPr>
          <t xml:space="preserve">DHS 2006
</t>
        </r>
        <r>
          <rPr>
            <b/>
            <sz val="9"/>
            <color indexed="81"/>
            <rFont val="Tahoma"/>
            <family val="2"/>
          </rPr>
          <t xml:space="preserve">Value: </t>
        </r>
        <r>
          <rPr>
            <sz val="9"/>
            <color indexed="81"/>
            <rFont val="Tahoma"/>
            <family val="2"/>
          </rPr>
          <t xml:space="preserve">Table 8.10 presented as percentage of diarrhoea prevalence in the past two weeks or past 24 hours
</t>
        </r>
      </text>
    </comment>
    <comment ref="C55" authorId="0" shapeId="0">
      <text>
        <r>
          <rPr>
            <b/>
            <sz val="9"/>
            <color indexed="81"/>
            <rFont val="Tahoma"/>
            <family val="2"/>
          </rPr>
          <t>Source:</t>
        </r>
        <r>
          <rPr>
            <sz val="9"/>
            <color indexed="81"/>
            <rFont val="Tahoma"/>
            <family val="2"/>
          </rPr>
          <t xml:space="preserve"> LiST Incidence of diarrhea number of cases per child-year (same value is listed for each age group)</t>
        </r>
        <r>
          <rPr>
            <b/>
            <sz val="9"/>
            <color indexed="81"/>
            <rFont val="Tahoma"/>
            <family val="2"/>
          </rPr>
          <t xml:space="preserve">
Alternative Source: </t>
        </r>
        <r>
          <rPr>
            <sz val="9"/>
            <color indexed="81"/>
            <rFont val="Tahoma"/>
            <family val="2"/>
          </rPr>
          <t>PNG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family val="2"/>
          </rPr>
          <t xml:space="preserve">DHS 2006
</t>
        </r>
        <r>
          <rPr>
            <b/>
            <sz val="9"/>
            <color indexed="81"/>
            <rFont val="Tahoma"/>
            <family val="2"/>
          </rPr>
          <t xml:space="preserve">Value: </t>
        </r>
        <r>
          <rPr>
            <sz val="9"/>
            <color indexed="81"/>
            <rFont val="Tahoma"/>
            <family val="2"/>
          </rPr>
          <t xml:space="preserve">Table 8.10 presented as percentage of diarrhoea prevalence in the past two weeks or past 24 hours
</t>
        </r>
      </text>
    </comment>
    <comment ref="C58" authorId="0" shapeId="0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SPAR 2016 (NHIS data)
</t>
        </r>
        <r>
          <rPr>
            <b/>
            <sz val="9"/>
            <color indexed="81"/>
            <rFont val="Tahoma"/>
            <family val="2"/>
          </rPr>
          <t>Value:</t>
        </r>
        <r>
          <rPr>
            <sz val="9"/>
            <color indexed="81"/>
            <rFont val="Tahoma"/>
            <family val="2"/>
          </rPr>
          <t xml:space="preserve"> Incidence of diarrhoeal disease in children &lt; 5 years (270 cases per 1000 children)</t>
        </r>
      </text>
    </comment>
    <comment ref="C59" authorId="0" shapeId="0">
      <text>
        <r>
          <rPr>
            <b/>
            <sz val="9"/>
            <color indexed="81"/>
            <rFont val="Tahoma"/>
            <family val="2"/>
          </rPr>
          <t>Source</t>
        </r>
        <r>
          <rPr>
            <sz val="9"/>
            <color indexed="81"/>
            <rFont val="Tahoma"/>
            <family val="2"/>
          </rPr>
          <t xml:space="preserve">: National nutrition survey 2005
</t>
        </r>
        <r>
          <rPr>
            <b/>
            <sz val="9"/>
            <color indexed="81"/>
            <rFont val="Tahoma"/>
            <family val="2"/>
          </rPr>
          <t xml:space="preserve">Value: 
</t>
        </r>
        <r>
          <rPr>
            <sz val="9"/>
            <color indexed="81"/>
            <rFont val="Tahoma"/>
            <family val="2"/>
          </rPr>
          <t>Children 6-59 months 
National 22.8% (N=868)
Southern 35.6% (N=194)
Highlands 7.7% (N=195)
Mamose 31.4% (N=236)
Islands 21.8 % (N=243)Non-pregnant 15-49
Women of reproductive age
National 15% (N=742)
Southern 44.2% (N=242)
Highlands 2.3% (N=171)
Mamose 22.6% (N=168)
Islands 23.0% (N=161)
Weighted average = ((868*22.8)+(742*0.15))/(868+742)
= 19.21%</t>
        </r>
      </text>
    </comment>
  </commentList>
</comments>
</file>

<file path=xl/comments10.xml><?xml version="1.0" encoding="utf-8"?>
<comments xmlns="http://schemas.openxmlformats.org/spreadsheetml/2006/main">
  <authors>
    <author>Nick Scott</author>
  </authors>
  <commentList>
    <comment ref="B6" authorId="0" shapeId="0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>
  <authors>
    <author>Optima team</author>
  </authors>
  <commentList>
    <comment ref="B2" authorId="0" shapeId="0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WPP 2017
</t>
        </r>
        <r>
          <rPr>
            <b/>
            <sz val="9"/>
            <color indexed="81"/>
            <rFont val="Tahoma"/>
            <family val="2"/>
          </rPr>
          <t xml:space="preserve">Value (interpolated from the following values) and divided by 5: 
</t>
        </r>
        <r>
          <rPr>
            <sz val="9"/>
            <color indexed="81"/>
            <rFont val="Tahoma"/>
            <family val="2"/>
          </rPr>
          <t>2015-2020: 1132000
2020-2025: 1184000
2025-2030: 1231000
2030-2035: 1271000</t>
        </r>
      </text>
    </comment>
  </commentList>
</comments>
</file>

<file path=xl/comments3.xml><?xml version="1.0" encoding="utf-8"?>
<comments xmlns="http://schemas.openxmlformats.org/spreadsheetml/2006/main">
  <authors>
    <author>Optima team</author>
    <author>Debra</author>
  </authors>
  <commentList>
    <comment ref="C3" authorId="0" shapeId="0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Annual Child Morbidity and Mortality Report 2017
</t>
        </r>
        <r>
          <rPr>
            <b/>
            <sz val="9"/>
            <color indexed="81"/>
            <rFont val="Tahoma"/>
            <family val="2"/>
          </rPr>
          <t xml:space="preserve">Value: </t>
        </r>
        <r>
          <rPr>
            <sz val="9"/>
            <color indexed="81"/>
            <rFont val="Tahoma"/>
            <family val="2"/>
          </rPr>
          <t xml:space="preserve">Hospital deaths for 22 regions 
NB Used same values for all age groups </t>
        </r>
      </text>
    </comment>
    <comment ref="C4" authorId="1" shapeId="0">
      <text>
        <r>
          <rPr>
            <b/>
            <sz val="9"/>
            <color indexed="81"/>
            <rFont val="Tahoma"/>
            <charset val="1"/>
          </rPr>
          <t xml:space="preserve">Source: </t>
        </r>
        <r>
          <rPr>
            <sz val="9"/>
            <color indexed="81"/>
            <rFont val="Tahoma"/>
            <family val="2"/>
          </rPr>
          <t>Annual Child Morbidity and Mortality Report 2017</t>
        </r>
        <r>
          <rPr>
            <b/>
            <sz val="9"/>
            <color indexed="81"/>
            <rFont val="Tahoma"/>
            <charset val="1"/>
          </rPr>
          <t xml:space="preserve">
Value: </t>
        </r>
        <r>
          <rPr>
            <sz val="9"/>
            <color indexed="81"/>
            <rFont val="Tahoma"/>
            <family val="2"/>
          </rPr>
          <t xml:space="preserve">298 neonatal infections deaths of 601 neonatal deaths reported – page 36) </t>
        </r>
      </text>
    </comment>
    <comment ref="C6" authorId="1" shapeId="0">
      <text>
        <r>
          <rPr>
            <b/>
            <sz val="9"/>
            <color indexed="81"/>
            <rFont val="Tahoma"/>
            <charset val="1"/>
          </rPr>
          <t xml:space="preserve">Source: </t>
        </r>
        <r>
          <rPr>
            <sz val="9"/>
            <color indexed="81"/>
            <rFont val="Tahoma"/>
            <family val="2"/>
          </rPr>
          <t>Annual Child Morbidity and Mortality Report 2017</t>
        </r>
        <r>
          <rPr>
            <b/>
            <sz val="9"/>
            <color indexed="81"/>
            <rFont val="Tahoma"/>
            <charset val="1"/>
          </rPr>
          <t xml:space="preserve">
Value: </t>
        </r>
        <r>
          <rPr>
            <sz val="9"/>
            <color indexed="81"/>
            <rFont val="Tahoma"/>
            <family val="2"/>
          </rPr>
          <t>(239 asphyxia deaths out of 601 neonatal deaths reported - page 38)</t>
        </r>
      </text>
    </comment>
    <comment ref="C14" authorId="0" shapeId="0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LiST 
</t>
        </r>
        <r>
          <rPr>
            <b/>
            <sz val="9"/>
            <color indexed="81"/>
            <rFont val="Tahoma"/>
            <family val="2"/>
          </rPr>
          <t xml:space="preserve">Value: </t>
        </r>
        <r>
          <rPr>
            <sz val="9"/>
            <color indexed="81"/>
            <rFont val="Tahoma"/>
            <family val="2"/>
          </rPr>
          <t xml:space="preserve">Post neonatal percent of child deaths by proximate causes
NB Used same values for all age groups </t>
        </r>
      </text>
    </comment>
  </commentList>
</comments>
</file>

<file path=xl/comments4.xml><?xml version="1.0" encoding="utf-8"?>
<comments xmlns="http://schemas.openxmlformats.org/spreadsheetml/2006/main">
  <authors>
    <author>Optima team</author>
  </authors>
  <commentList>
    <comment ref="C4" authorId="0" shapeId="0">
      <text>
        <r>
          <rPr>
            <b/>
            <sz val="9"/>
            <color indexed="81"/>
            <rFont val="Tahoma"/>
            <family val="2"/>
          </rPr>
          <t>Source:</t>
        </r>
        <r>
          <rPr>
            <sz val="9"/>
            <color indexed="81"/>
            <rFont val="Tahoma"/>
            <family val="2"/>
          </rPr>
          <t xml:space="preserve"> LiST stunting distributions</t>
        </r>
        <r>
          <rPr>
            <b/>
            <sz val="9"/>
            <color indexed="81"/>
            <rFont val="Tahoma"/>
            <family val="2"/>
          </rPr>
          <t xml:space="preserve">
Alternative source:</t>
        </r>
        <r>
          <rPr>
            <sz val="9"/>
            <color indexed="81"/>
            <rFont val="Tahoma"/>
            <family val="2"/>
          </rPr>
          <t xml:space="preserve"> HIES 2009-2010
page 90 Table 5.14/5.15</t>
        </r>
        <r>
          <rPr>
            <b/>
            <sz val="9"/>
            <color indexed="81"/>
            <rFont val="Tahoma"/>
            <family val="2"/>
          </rPr>
          <t xml:space="preserve">
Value: </t>
        </r>
        <r>
          <rPr>
            <sz val="9"/>
            <color indexed="81"/>
            <rFont val="Tahoma"/>
            <family val="2"/>
          </rPr>
          <t>33.1%
Children are classified as stunted if Z scores of height for age are less than 2 SD below the median of the WHO Child Growth Standards</t>
        </r>
      </text>
    </comment>
    <comment ref="D4" authorId="0" shapeId="0">
      <text>
        <r>
          <rPr>
            <b/>
            <sz val="9"/>
            <color indexed="81"/>
            <rFont val="Tahoma"/>
            <family val="2"/>
          </rPr>
          <t>Source:</t>
        </r>
        <r>
          <rPr>
            <sz val="9"/>
            <color indexed="81"/>
            <rFont val="Tahoma"/>
            <family val="2"/>
          </rPr>
          <t xml:space="preserve"> LiST stunting distributions</t>
        </r>
        <r>
          <rPr>
            <b/>
            <sz val="9"/>
            <color indexed="81"/>
            <rFont val="Tahoma"/>
            <family val="2"/>
          </rPr>
          <t xml:space="preserve">
Alternative source:</t>
        </r>
        <r>
          <rPr>
            <sz val="9"/>
            <color indexed="81"/>
            <rFont val="Tahoma"/>
            <family val="2"/>
          </rPr>
          <t xml:space="preserve"> HIES 2009-2010
page 90 Table 5.14/5.15</t>
        </r>
        <r>
          <rPr>
            <b/>
            <sz val="9"/>
            <color indexed="81"/>
            <rFont val="Tahoma"/>
            <family val="2"/>
          </rPr>
          <t xml:space="preserve">
Value: </t>
        </r>
        <r>
          <rPr>
            <sz val="9"/>
            <color indexed="81"/>
            <rFont val="Tahoma"/>
            <family val="2"/>
          </rPr>
          <t>33.1%
Children are classified as stunted if Z scores of height for age are less than 2 SD below the median of the WHO Child Growth Standards</t>
        </r>
      </text>
    </comment>
    <comment ref="E4" authorId="0" shapeId="0">
      <text>
        <r>
          <rPr>
            <b/>
            <sz val="9"/>
            <color indexed="81"/>
            <rFont val="Tahoma"/>
            <family val="2"/>
          </rPr>
          <t>Source:</t>
        </r>
        <r>
          <rPr>
            <sz val="9"/>
            <color indexed="81"/>
            <rFont val="Tahoma"/>
            <family val="2"/>
          </rPr>
          <t xml:space="preserve"> LiST stunting distributions</t>
        </r>
        <r>
          <rPr>
            <b/>
            <sz val="9"/>
            <color indexed="81"/>
            <rFont val="Tahoma"/>
            <family val="2"/>
          </rPr>
          <t xml:space="preserve">
Alternative source:</t>
        </r>
        <r>
          <rPr>
            <sz val="9"/>
            <color indexed="81"/>
            <rFont val="Tahoma"/>
            <family val="2"/>
          </rPr>
          <t xml:space="preserve"> HIES 2009-2010
page 90 Table 5.14/5.15</t>
        </r>
        <r>
          <rPr>
            <b/>
            <sz val="9"/>
            <color indexed="81"/>
            <rFont val="Tahoma"/>
            <family val="2"/>
          </rPr>
          <t xml:space="preserve">
Value: </t>
        </r>
        <r>
          <rPr>
            <sz val="9"/>
            <color indexed="81"/>
            <rFont val="Tahoma"/>
            <family val="2"/>
          </rPr>
          <t>42.7%
Children are classified as stunted if Z scores of height for age are less than 2 SD below the median of the WHO Child Growth Standards</t>
        </r>
      </text>
    </comment>
    <comment ref="F4" authorId="0" shapeId="0">
      <text>
        <r>
          <rPr>
            <b/>
            <sz val="9"/>
            <color indexed="81"/>
            <rFont val="Tahoma"/>
            <family val="2"/>
          </rPr>
          <t>Source:</t>
        </r>
        <r>
          <rPr>
            <sz val="9"/>
            <color indexed="81"/>
            <rFont val="Tahoma"/>
            <family val="2"/>
          </rPr>
          <t xml:space="preserve"> LiST stunting distributions</t>
        </r>
        <r>
          <rPr>
            <b/>
            <sz val="9"/>
            <color indexed="81"/>
            <rFont val="Tahoma"/>
            <family val="2"/>
          </rPr>
          <t xml:space="preserve">
Alternative source:</t>
        </r>
        <r>
          <rPr>
            <sz val="9"/>
            <color indexed="81"/>
            <rFont val="Tahoma"/>
            <family val="2"/>
          </rPr>
          <t xml:space="preserve"> HIES 2009-2010
page 90 Table 5.14/5.15</t>
        </r>
        <r>
          <rPr>
            <b/>
            <sz val="9"/>
            <color indexed="81"/>
            <rFont val="Tahoma"/>
            <family val="2"/>
          </rPr>
          <t xml:space="preserve">
Value: </t>
        </r>
        <r>
          <rPr>
            <sz val="9"/>
            <color indexed="81"/>
            <rFont val="Tahoma"/>
            <family val="2"/>
          </rPr>
          <t>42.7%
Children are classified as stunted if Z scores of height for age are less than 2 SD below the median of the WHO Child Growth Standards</t>
        </r>
      </text>
    </comment>
    <comment ref="G4" authorId="0" shapeId="0">
      <text>
        <r>
          <rPr>
            <b/>
            <sz val="9"/>
            <color indexed="81"/>
            <rFont val="Tahoma"/>
            <family val="2"/>
          </rPr>
          <t>Source:</t>
        </r>
        <r>
          <rPr>
            <sz val="9"/>
            <color indexed="81"/>
            <rFont val="Tahoma"/>
            <family val="2"/>
          </rPr>
          <t xml:space="preserve"> LiST stunting distributions</t>
        </r>
        <r>
          <rPr>
            <b/>
            <sz val="9"/>
            <color indexed="81"/>
            <rFont val="Tahoma"/>
            <family val="2"/>
          </rPr>
          <t xml:space="preserve">
Alternative source:</t>
        </r>
        <r>
          <rPr>
            <sz val="9"/>
            <color indexed="81"/>
            <rFont val="Tahoma"/>
            <family val="2"/>
          </rPr>
          <t xml:space="preserve"> HIES 2009-2010
page 90 Table 5.14/5.15</t>
        </r>
        <r>
          <rPr>
            <b/>
            <sz val="9"/>
            <color indexed="81"/>
            <rFont val="Tahoma"/>
            <family val="2"/>
          </rPr>
          <t xml:space="preserve">
Value: </t>
        </r>
        <r>
          <rPr>
            <sz val="9"/>
            <color indexed="81"/>
            <rFont val="Tahoma"/>
            <family val="2"/>
          </rPr>
          <t>53.4%
Children are classified as stunted if Z scores of height for age are less than 2 SD below the median of the WHO Child Growth Standards</t>
        </r>
      </text>
    </comment>
    <comment ref="C10" authorId="0" shapeId="0">
      <text>
        <r>
          <rPr>
            <b/>
            <sz val="9"/>
            <color indexed="81"/>
            <rFont val="Tahoma"/>
            <family val="2"/>
          </rPr>
          <t>Source:</t>
        </r>
        <r>
          <rPr>
            <sz val="9"/>
            <color indexed="81"/>
            <rFont val="Tahoma"/>
            <family val="2"/>
          </rPr>
          <t xml:space="preserve"> LiST wasting distributions</t>
        </r>
        <r>
          <rPr>
            <b/>
            <sz val="9"/>
            <color indexed="81"/>
            <rFont val="Tahoma"/>
            <family val="2"/>
          </rPr>
          <t xml:space="preserve">
Alternative source:</t>
        </r>
        <r>
          <rPr>
            <sz val="9"/>
            <color indexed="81"/>
            <rFont val="Tahoma"/>
            <family val="2"/>
          </rPr>
          <t xml:space="preserve"> HIES 2009-2010
page 90 Table 5.14/5.15</t>
        </r>
        <r>
          <rPr>
            <b/>
            <sz val="9"/>
            <color indexed="81"/>
            <rFont val="Tahoma"/>
            <family val="2"/>
          </rPr>
          <t xml:space="preserve">
Value: </t>
        </r>
        <r>
          <rPr>
            <sz val="9"/>
            <color indexed="81"/>
            <rFont val="Tahoma"/>
            <family val="2"/>
          </rPr>
          <t>15.7%
Children are classified as stunted if Z scores of height for age are less than 2 SD below the median of the WHO Child Growth Standards</t>
        </r>
      </text>
    </comment>
    <comment ref="D10" authorId="0" shapeId="0">
      <text>
        <r>
          <rPr>
            <b/>
            <sz val="9"/>
            <color indexed="81"/>
            <rFont val="Tahoma"/>
            <family val="2"/>
          </rPr>
          <t>Source:</t>
        </r>
        <r>
          <rPr>
            <sz val="9"/>
            <color indexed="81"/>
            <rFont val="Tahoma"/>
            <family val="2"/>
          </rPr>
          <t xml:space="preserve"> LiST wasting distributions</t>
        </r>
        <r>
          <rPr>
            <b/>
            <sz val="9"/>
            <color indexed="81"/>
            <rFont val="Tahoma"/>
            <family val="2"/>
          </rPr>
          <t xml:space="preserve">
Alternative source:</t>
        </r>
        <r>
          <rPr>
            <sz val="9"/>
            <color indexed="81"/>
            <rFont val="Tahoma"/>
            <family val="2"/>
          </rPr>
          <t xml:space="preserve"> HIES 2009-2010
page 90 Table 5.14/5.15</t>
        </r>
        <r>
          <rPr>
            <b/>
            <sz val="9"/>
            <color indexed="81"/>
            <rFont val="Tahoma"/>
            <family val="2"/>
          </rPr>
          <t xml:space="preserve">
Value: </t>
        </r>
        <r>
          <rPr>
            <sz val="9"/>
            <color indexed="81"/>
            <rFont val="Tahoma"/>
            <family val="2"/>
          </rPr>
          <t>15.7%
Children are classified as stunted if Z scores of height for age are less than 2 SD below the median of the WHO Child Growth Standards</t>
        </r>
      </text>
    </comment>
    <comment ref="E10" authorId="0" shapeId="0">
      <text>
        <r>
          <rPr>
            <b/>
            <sz val="9"/>
            <color indexed="81"/>
            <rFont val="Tahoma"/>
            <family val="2"/>
          </rPr>
          <t>Source:</t>
        </r>
        <r>
          <rPr>
            <sz val="9"/>
            <color indexed="81"/>
            <rFont val="Tahoma"/>
            <family val="2"/>
          </rPr>
          <t xml:space="preserve"> LiST wasting distributions</t>
        </r>
        <r>
          <rPr>
            <b/>
            <sz val="9"/>
            <color indexed="81"/>
            <rFont val="Tahoma"/>
            <family val="2"/>
          </rPr>
          <t xml:space="preserve">
Alternative source:</t>
        </r>
        <r>
          <rPr>
            <sz val="9"/>
            <color indexed="81"/>
            <rFont val="Tahoma"/>
            <family val="2"/>
          </rPr>
          <t xml:space="preserve"> HIES 2009-2010
page 90 Table 5.14/5.15</t>
        </r>
        <r>
          <rPr>
            <b/>
            <sz val="9"/>
            <color indexed="81"/>
            <rFont val="Tahoma"/>
            <family val="2"/>
          </rPr>
          <t xml:space="preserve">
Value: </t>
        </r>
        <r>
          <rPr>
            <sz val="9"/>
            <color indexed="81"/>
            <rFont val="Tahoma"/>
            <family val="2"/>
          </rPr>
          <t>36.2%
Children are classified as stunted if Z scores of height for age are less than 2 SD below the median of the WHO Child Growth Standards</t>
        </r>
      </text>
    </comment>
    <comment ref="F10" authorId="0" shapeId="0">
      <text>
        <r>
          <rPr>
            <b/>
            <sz val="9"/>
            <color indexed="81"/>
            <rFont val="Tahoma"/>
            <family val="2"/>
          </rPr>
          <t>Source:</t>
        </r>
        <r>
          <rPr>
            <sz val="9"/>
            <color indexed="81"/>
            <rFont val="Tahoma"/>
            <family val="2"/>
          </rPr>
          <t xml:space="preserve"> LiST wasting distributions</t>
        </r>
        <r>
          <rPr>
            <b/>
            <sz val="9"/>
            <color indexed="81"/>
            <rFont val="Tahoma"/>
            <family val="2"/>
          </rPr>
          <t xml:space="preserve">
Alternative source:</t>
        </r>
        <r>
          <rPr>
            <sz val="9"/>
            <color indexed="81"/>
            <rFont val="Tahoma"/>
            <family val="2"/>
          </rPr>
          <t xml:space="preserve"> HIES 2009-2010
page 90 Table 5.14/5.15</t>
        </r>
        <r>
          <rPr>
            <b/>
            <sz val="9"/>
            <color indexed="81"/>
            <rFont val="Tahoma"/>
            <family val="2"/>
          </rPr>
          <t xml:space="preserve">
Value: </t>
        </r>
        <r>
          <rPr>
            <sz val="9"/>
            <color indexed="81"/>
            <rFont val="Tahoma"/>
            <family val="2"/>
          </rPr>
          <t>36.2%
Children are classified as stunted if Z scores of height for age are less than 2 SD below the median of the WHO Child Growth Standards</t>
        </r>
      </text>
    </comment>
    <comment ref="G10" authorId="0" shapeId="0">
      <text>
        <r>
          <rPr>
            <b/>
            <sz val="9"/>
            <color indexed="81"/>
            <rFont val="Tahoma"/>
            <family val="2"/>
          </rPr>
          <t>Source:</t>
        </r>
        <r>
          <rPr>
            <sz val="9"/>
            <color indexed="81"/>
            <rFont val="Tahoma"/>
            <family val="2"/>
          </rPr>
          <t xml:space="preserve"> LiST wasting distributions</t>
        </r>
        <r>
          <rPr>
            <b/>
            <sz val="9"/>
            <color indexed="81"/>
            <rFont val="Tahoma"/>
            <family val="2"/>
          </rPr>
          <t xml:space="preserve">
Alternative source:</t>
        </r>
        <r>
          <rPr>
            <sz val="9"/>
            <color indexed="81"/>
            <rFont val="Tahoma"/>
            <family val="2"/>
          </rPr>
          <t xml:space="preserve"> HIES 2009-2010
page 90 Table 5.14/5.15</t>
        </r>
        <r>
          <rPr>
            <b/>
            <sz val="9"/>
            <color indexed="81"/>
            <rFont val="Tahoma"/>
            <family val="2"/>
          </rPr>
          <t xml:space="preserve">
Value: </t>
        </r>
        <r>
          <rPr>
            <sz val="9"/>
            <color indexed="81"/>
            <rFont val="Tahoma"/>
            <family val="2"/>
          </rPr>
          <t>48.2%
Children are classified as stunted if Z scores of height for age are less than 2 SD below the median of the WHO Child Growth Standards</t>
        </r>
      </text>
    </comment>
    <comment ref="C14" authorId="0" shapeId="0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>National nutrition survey 2005 page 59</t>
        </r>
        <r>
          <rPr>
            <b/>
            <sz val="9"/>
            <color indexed="81"/>
            <rFont val="Tahoma"/>
            <family val="2"/>
          </rPr>
          <t xml:space="preserve">
Value: </t>
        </r>
        <r>
          <rPr>
            <sz val="9"/>
            <color indexed="81"/>
            <rFont val="Tahoma"/>
            <family val="2"/>
          </rPr>
          <t>Anemia per region children aged 6-59 months (cut off is Hb &lt;11.0) 
NB also applied to children 0-6 months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>National nutrition survey 2005 page 59</t>
        </r>
        <r>
          <rPr>
            <b/>
            <sz val="9"/>
            <color indexed="81"/>
            <rFont val="Tahoma"/>
            <family val="2"/>
          </rPr>
          <t xml:space="preserve">
Value: </t>
        </r>
        <r>
          <rPr>
            <sz val="9"/>
            <color indexed="81"/>
            <rFont val="Tahoma"/>
            <family val="2"/>
          </rPr>
          <t>Anemia per region children aged 6-59 months (cut off is Hb &lt;11.0) 
NB also applied to children 0-6 months</t>
        </r>
      </text>
    </comment>
    <comment ref="E14" authorId="0" shapeId="0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>National nutrition survey 2005 page 59</t>
        </r>
        <r>
          <rPr>
            <b/>
            <sz val="9"/>
            <color indexed="81"/>
            <rFont val="Tahoma"/>
            <family val="2"/>
          </rPr>
          <t xml:space="preserve">
Value: </t>
        </r>
        <r>
          <rPr>
            <sz val="9"/>
            <color indexed="81"/>
            <rFont val="Tahoma"/>
            <family val="2"/>
          </rPr>
          <t>Anemia per region children aged 6-59 months (cut off is Hb &lt;11.0) 
NB also applied to children 0-6 months</t>
        </r>
      </text>
    </comment>
    <comment ref="F14" authorId="0" shapeId="0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>National nutrition survey 2005 page 59</t>
        </r>
        <r>
          <rPr>
            <b/>
            <sz val="9"/>
            <color indexed="81"/>
            <rFont val="Tahoma"/>
            <family val="2"/>
          </rPr>
          <t xml:space="preserve">
Value: </t>
        </r>
        <r>
          <rPr>
            <sz val="9"/>
            <color indexed="81"/>
            <rFont val="Tahoma"/>
            <family val="2"/>
          </rPr>
          <t>Anemia per region children aged 6-59 months (cut off is Hb &lt;11.0) 
NB also applied to children 0-6 months</t>
        </r>
      </text>
    </comment>
    <comment ref="G14" authorId="0" shapeId="0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>National nutrition survey 2005 page 59</t>
        </r>
        <r>
          <rPr>
            <b/>
            <sz val="9"/>
            <color indexed="81"/>
            <rFont val="Tahoma"/>
            <family val="2"/>
          </rPr>
          <t xml:space="preserve">
Value: </t>
        </r>
        <r>
          <rPr>
            <sz val="9"/>
            <color indexed="81"/>
            <rFont val="Tahoma"/>
            <family val="2"/>
          </rPr>
          <t>Anemia per region children aged 6-59 months (cut off is Hb &lt;11.0) 
NB also applied to children 0-6 months</t>
        </r>
      </text>
    </comment>
    <comment ref="H14" authorId="0" shapeId="0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>World Bank databank PNG (World development indicators)
row 203</t>
        </r>
        <r>
          <rPr>
            <b/>
            <sz val="9"/>
            <color indexed="81"/>
            <rFont val="Tahoma"/>
            <family val="2"/>
          </rPr>
          <t xml:space="preserve">
Value: </t>
        </r>
        <r>
          <rPr>
            <sz val="9"/>
            <color indexed="81"/>
            <rFont val="Tahoma"/>
            <family val="2"/>
          </rPr>
          <t xml:space="preserve">Prevalence of anemia among pregnant women (%)
Applied across all age groups
</t>
        </r>
      </text>
    </comment>
    <comment ref="L14" authorId="0" shapeId="0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National nutrition survey 2005 page 61
</t>
        </r>
        <r>
          <rPr>
            <b/>
            <sz val="9"/>
            <color indexed="81"/>
            <rFont val="Tahoma"/>
            <family val="2"/>
          </rPr>
          <t xml:space="preserve">
Value: </t>
        </r>
        <r>
          <rPr>
            <sz val="9"/>
            <color indexed="81"/>
            <rFont val="Tahoma"/>
            <family val="2"/>
          </rPr>
          <t xml:space="preserve">Anemia per region in non-pregnant women aged 15-49  (cut off is Hb &lt;11.0) 
</t>
        </r>
      </text>
    </comment>
    <comment ref="M14" authorId="0" shapeId="0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National nutrition survey 2005 page 61
</t>
        </r>
        <r>
          <rPr>
            <b/>
            <sz val="9"/>
            <color indexed="81"/>
            <rFont val="Tahoma"/>
            <family val="2"/>
          </rPr>
          <t xml:space="preserve">
Value: </t>
        </r>
        <r>
          <rPr>
            <sz val="9"/>
            <color indexed="81"/>
            <rFont val="Tahoma"/>
            <family val="2"/>
          </rPr>
          <t xml:space="preserve">Anemia per region in non-pregnant women aged 15-49  (cut off is Hb &lt;11.0) 
</t>
        </r>
      </text>
    </comment>
    <comment ref="N14" authorId="0" shapeId="0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National nutrition survey 2005 page 61
</t>
        </r>
        <r>
          <rPr>
            <b/>
            <sz val="9"/>
            <color indexed="81"/>
            <rFont val="Tahoma"/>
            <family val="2"/>
          </rPr>
          <t xml:space="preserve">
Value: </t>
        </r>
        <r>
          <rPr>
            <sz val="9"/>
            <color indexed="81"/>
            <rFont val="Tahoma"/>
            <family val="2"/>
          </rPr>
          <t xml:space="preserve">Anemia per region in non-pregnant women aged 15-49  (cut off is Hb &lt;11.0) 
</t>
        </r>
      </text>
    </comment>
    <comment ref="O14" authorId="0" shapeId="0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National nutrition survey 2005 page 61
</t>
        </r>
        <r>
          <rPr>
            <b/>
            <sz val="9"/>
            <color indexed="81"/>
            <rFont val="Tahoma"/>
            <family val="2"/>
          </rPr>
          <t xml:space="preserve">
Value: </t>
        </r>
        <r>
          <rPr>
            <sz val="9"/>
            <color indexed="81"/>
            <rFont val="Tahoma"/>
            <family val="2"/>
          </rPr>
          <t xml:space="preserve">Anemia per region in non-pregnant women aged 15-49  (cut off is Hb &lt;11.0) 
</t>
        </r>
      </text>
    </comment>
  </commentList>
</comments>
</file>

<file path=xl/comments5.xml><?xml version="1.0" encoding="utf-8"?>
<comments xmlns="http://schemas.openxmlformats.org/spreadsheetml/2006/main">
  <authors>
    <author>Debra</author>
    <author>Optima team</author>
  </authors>
  <commentList>
    <comment ref="G1" authorId="0" shapeId="0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DHS 2006
</t>
        </r>
        <r>
          <rPr>
            <b/>
            <sz val="9"/>
            <color indexed="81"/>
            <rFont val="Tahoma"/>
            <family val="2"/>
          </rPr>
          <t>Value:</t>
        </r>
        <r>
          <rPr>
            <sz val="9"/>
            <color indexed="81"/>
            <rFont val="Tahoma"/>
            <family val="2"/>
          </rPr>
          <t xml:space="preserve"> Original values as no calculation possible due to lack of regional data for this age group regarding breastfeeding</t>
        </r>
      </text>
    </comment>
    <comment ref="C2" authorId="1" shapeId="0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National nutritional survey 2005
</t>
        </r>
        <r>
          <rPr>
            <b/>
            <sz val="9"/>
            <color indexed="81"/>
            <rFont val="Tahoma"/>
            <family val="2"/>
          </rPr>
          <t xml:space="preserve">Value: </t>
        </r>
        <r>
          <rPr>
            <sz val="9"/>
            <color indexed="81"/>
            <rFont val="Tahoma"/>
            <family val="2"/>
          </rPr>
          <t>Used breastfeeding &lt;24 hours as a proxy for exclusive breastfeeding in &lt; 1month and 1-5 months age groups. The difference between the regional &lt;24 hour value compared to the &lt;24 hour national value was applied to the original "Exclusive breastfeeding value" from DHS 2006
e.g. 
Breastfeeding within 24 hours of birth:
Southern value: 77.6%
National value 83.60%
Difference = 7%
National exclusive breastfeeding for &lt; 1 month value from DHS 2006 was: 79.8%
Value for Southern region = 79.8%*(1-7%) = 74.1%
Remaining difference was added to the "none" group</t>
        </r>
      </text>
    </comment>
    <comment ref="D2" authorId="1" shapeId="0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National nutritional survey 2005
</t>
        </r>
        <r>
          <rPr>
            <b/>
            <sz val="9"/>
            <color indexed="81"/>
            <rFont val="Tahoma"/>
            <family val="2"/>
          </rPr>
          <t xml:space="preserve">Value: </t>
        </r>
        <r>
          <rPr>
            <sz val="9"/>
            <color indexed="81"/>
            <rFont val="Tahoma"/>
            <family val="2"/>
          </rPr>
          <t>Used breastfeeding &lt;24 hours as a proxy for exclusive breastfeeding in &lt; 1month and 1-5 months age groups. The difference between the regional &lt;24 hour value compared to the &lt;24 hour national value was applied to the original "Exclusive breastfeeding value" from DHS 2006
e.g. 
Breastfeeding within 24 hours of birth:
Southern value: 77.6%
National value 83.60%
Difference = 7%
National exclusive breastfeeding for &lt; 1 month value from DHS 2006 was: 79.8%
Value for Southern region = 79.8%*(1-7%) = 74.1%
Remaining difference was added to the "none" group</t>
        </r>
      </text>
    </comment>
    <comment ref="E4" authorId="1" shapeId="0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National nutritional survey 2005
</t>
        </r>
        <r>
          <rPr>
            <b/>
            <sz val="9"/>
            <color indexed="81"/>
            <rFont val="Tahoma"/>
            <family val="2"/>
          </rPr>
          <t xml:space="preserve">Value: </t>
        </r>
        <r>
          <rPr>
            <sz val="9"/>
            <color indexed="81"/>
            <rFont val="Tahoma"/>
            <family val="2"/>
          </rPr>
          <t>Used breastfeeding 6-11 months and averaged values for 12-17 months &amp; 18-23 months --&gt; 12-23 months as a proxy for partial breastfeeding in 6-11 months and 12-23 months age groups. The difference between the regional breastfeeding value compared to the national breastfeeding value was applied to the original "Partial breastfeeding value" from DHS 2006
e.g. 
Breastfeeding 6-11 months:
Southern value: 90.00%
National value 91.60%
Difference = -1.6%
National partial breastfeeding for 6-11 months from DHS 2006 was: 75.2%
Value for Southern region = 75.2%*(1-(-2)%) = 73.6%
Remaining percentages were added as a weighted value of original 2006 DHS values/</t>
        </r>
      </text>
    </comment>
    <comment ref="F4" authorId="1" shapeId="0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National nutritional survey 2005
</t>
        </r>
        <r>
          <rPr>
            <b/>
            <sz val="9"/>
            <color indexed="81"/>
            <rFont val="Tahoma"/>
            <family val="2"/>
          </rPr>
          <t xml:space="preserve">Value: </t>
        </r>
        <r>
          <rPr>
            <sz val="9"/>
            <color indexed="81"/>
            <rFont val="Tahoma"/>
            <family val="2"/>
          </rPr>
          <t>Used breastfeeding 6-11 months and averaged values for 12-17 months &amp; 18-23 months --&gt; 12-23 months as a proxy for partial breastfeeding in 6-11 months and 12-23 months age groups. The difference between the regional breastfeeding value compared to the national breastfeeding value was applied to the original "Partial breastfeeding value" from DHS 2006
e.g. 
Breastfeeding 6-11 months:
Southern value: 90.00%
National value 91.60%
Difference = -1.6%
National partial breastfeeding for 6-11 months from DHS 2006 was: 75.2%
Value for Southern region = 75.2%*(1-(-2)%) = 73.6%
Remaining percentages were added as a weighted value of original 2006 DHS values/</t>
        </r>
      </text>
    </comment>
  </commentList>
</comments>
</file>

<file path=xl/comments6.xml><?xml version="1.0" encoding="utf-8"?>
<comments xmlns="http://schemas.openxmlformats.org/spreadsheetml/2006/main">
  <authors>
    <author>Optima team</author>
    <author>Nick Scott</author>
  </authors>
  <commentList>
    <comment ref="D2" authorId="0" shapeId="0">
      <text>
        <r>
          <rPr>
            <b/>
            <sz val="9"/>
            <color indexed="81"/>
            <rFont val="Tahoma"/>
            <family val="2"/>
          </rPr>
          <t>Source:</t>
        </r>
        <r>
          <rPr>
            <sz val="9"/>
            <color indexed="81"/>
            <rFont val="Tahoma"/>
            <family val="2"/>
          </rPr>
          <t xml:space="preserve"> Bhutta et al 2013 Evidence-based interventions for improvement of maternal and child nutrition: what can be done and at what cost? 
Supplementary material web appendix panel 14
https://www.thelancet.com/cms/10.1016/S0140-6736(13)60996-4/attachment/c59fe701-39f8-49e1-bc11-53032b08d0ae/mmc1.pdf</t>
        </r>
        <r>
          <rPr>
            <b/>
            <sz val="9"/>
            <color indexed="81"/>
            <rFont val="Tahoma"/>
            <family val="2"/>
          </rPr>
          <t xml:space="preserve">
Value: </t>
        </r>
        <r>
          <rPr>
            <sz val="9"/>
            <color indexed="81"/>
            <rFont val="Tahoma"/>
            <family val="2"/>
          </rPr>
          <t>WPRO B (Western Pacific Region) $25.00 (2010)
CPI inflation calculator Jan 2010-Jan 2017 = $28.02</t>
        </r>
      </text>
    </comment>
    <comment ref="D3" authorId="0" shapeId="0">
      <text>
        <r>
          <rPr>
            <b/>
            <sz val="9"/>
            <color indexed="81"/>
            <rFont val="Tahoma"/>
            <family val="2"/>
          </rPr>
          <t>Source:</t>
        </r>
        <r>
          <rPr>
            <sz val="9"/>
            <color indexed="81"/>
            <rFont val="Tahoma"/>
            <family val="2"/>
          </rPr>
          <t xml:space="preserve"> Bhutta et al 2013 Evidence-based interventions for improvement of maternal and child nutrition: what can be done and at what cost? Supplementary material web appendix panel 14
https://www.thelancet.com/cms/10.1016/S0140-6736(13)60996-4/attachment/c59fe701-39f8-49e1-bc11-53032b08d0ae/mmc1.pdf</t>
        </r>
        <r>
          <rPr>
            <b/>
            <sz val="9"/>
            <color indexed="81"/>
            <rFont val="Tahoma"/>
            <family val="2"/>
          </rPr>
          <t xml:space="preserve">
Value: </t>
        </r>
        <r>
          <rPr>
            <sz val="9"/>
            <color indexed="81"/>
            <rFont val="Tahoma"/>
            <family val="2"/>
          </rPr>
          <t>WPRO B (Western Pacific Region) $9.16 (2010)
CPI inflation calculator Jan 2010-Jan 2017 = $10.27</t>
        </r>
      </text>
    </comment>
    <comment ref="D4" authorId="0" shapeId="0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>Tanzania analysis 2018
Uses 2013 PSS data hence corrected for inflation (2013: $60, 2017: $63.27)</t>
        </r>
      </text>
    </comment>
    <comment ref="B6" authorId="0" shapeId="0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DHS 2006 table 4.3
</t>
        </r>
        <r>
          <rPr>
            <b/>
            <sz val="9"/>
            <color indexed="81"/>
            <rFont val="Tahoma"/>
            <family val="2"/>
          </rPr>
          <t xml:space="preserve">Value: </t>
        </r>
        <r>
          <rPr>
            <sz val="9"/>
            <color indexed="81"/>
            <rFont val="Tahoma"/>
            <family val="2"/>
          </rPr>
          <t>Ever use of contraception for all women 38.7%</t>
        </r>
      </text>
    </comment>
    <comment ref="D7" authorId="0" shapeId="0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
An Investment Framework for Nutrition pg 266</t>
        </r>
        <r>
          <rPr>
            <b/>
            <sz val="9"/>
            <color indexed="81"/>
            <rFont val="Tahoma"/>
            <family val="2"/>
          </rPr>
          <t xml:space="preserve">
Value:</t>
        </r>
        <r>
          <rPr>
            <sz val="9"/>
            <color indexed="81"/>
            <rFont val="Tahoma"/>
            <family val="2"/>
          </rPr>
          <t xml:space="preserve">
Mean unit cost fortification of maize Vietnam $ 0.15 (2015)
$0.16 (2017)</t>
        </r>
      </text>
    </comment>
    <comment ref="D8" authorId="0" shapeId="0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
An Investment Framework for Nutrition pg 266</t>
        </r>
        <r>
          <rPr>
            <b/>
            <sz val="9"/>
            <color indexed="81"/>
            <rFont val="Tahoma"/>
            <family val="2"/>
          </rPr>
          <t xml:space="preserve">
Value:</t>
        </r>
        <r>
          <rPr>
            <sz val="9"/>
            <color indexed="81"/>
            <rFont val="Tahoma"/>
            <family val="2"/>
          </rPr>
          <t xml:space="preserve">
Mean unit cost fortification of rice Vietnam $ 1.41 (2015)
$1.47 (2017)</t>
        </r>
      </text>
    </comment>
    <comment ref="D9" authorId="0" shapeId="0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
An Investment Framework for Nutrition pg 266</t>
        </r>
        <r>
          <rPr>
            <b/>
            <sz val="9"/>
            <color indexed="81"/>
            <rFont val="Tahoma"/>
            <family val="2"/>
          </rPr>
          <t xml:space="preserve">
Value:</t>
        </r>
        <r>
          <rPr>
            <sz val="9"/>
            <color indexed="81"/>
            <rFont val="Tahoma"/>
            <family val="2"/>
          </rPr>
          <t xml:space="preserve">
Mean unit cost fortification of wheat flour Vietnam $ 0.20 (2015)
$0.21 (2017)</t>
        </r>
      </text>
    </comment>
    <comment ref="D10" authorId="0" shapeId="0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
An Investment Framework for Nutrition pg 264</t>
        </r>
        <r>
          <rPr>
            <b/>
            <sz val="9"/>
            <color indexed="81"/>
            <rFont val="Tahoma"/>
            <family val="2"/>
          </rPr>
          <t xml:space="preserve">
Value:</t>
        </r>
        <r>
          <rPr>
            <sz val="9"/>
            <color indexed="81"/>
            <rFont val="Tahoma"/>
            <family val="2"/>
          </rPr>
          <t xml:space="preserve">
IFAS community health system delivery + supplement Vietnam $ 0.28 (2015)
$0.29 (2017)</t>
        </r>
      </text>
    </comment>
    <comment ref="D11" authorId="0" shapeId="0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
An Investment Framework for Nutrition pg 264</t>
        </r>
        <r>
          <rPr>
            <b/>
            <sz val="9"/>
            <color indexed="81"/>
            <rFont val="Tahoma"/>
            <family val="2"/>
          </rPr>
          <t xml:space="preserve">
Value:</t>
        </r>
        <r>
          <rPr>
            <sz val="9"/>
            <color indexed="81"/>
            <rFont val="Tahoma"/>
            <family val="2"/>
          </rPr>
          <t xml:space="preserve">
IFAS hospital/clinic delivery + supplement Vietnam $ 2.07 (2015)
$2.15 (2017)</t>
        </r>
      </text>
    </comment>
    <comment ref="D12" authorId="0" shapeId="0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
An Investment Framework for Nutrition pg 264</t>
        </r>
        <r>
          <rPr>
            <b/>
            <sz val="9"/>
            <color indexed="81"/>
            <rFont val="Tahoma"/>
            <family val="2"/>
          </rPr>
          <t xml:space="preserve">
Value:</t>
        </r>
        <r>
          <rPr>
            <sz val="9"/>
            <color indexed="81"/>
            <rFont val="Tahoma"/>
            <family val="2"/>
          </rPr>
          <t xml:space="preserve">
IFAS retailer + supplement Vietnam $ 0.24 (2015)
$0.25 (2017)</t>
        </r>
      </text>
    </comment>
    <comment ref="D13" authorId="0" shapeId="0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
An Investment Framework for Nutrition pg 264</t>
        </r>
        <r>
          <rPr>
            <b/>
            <sz val="9"/>
            <color indexed="81"/>
            <rFont val="Tahoma"/>
            <family val="2"/>
          </rPr>
          <t xml:space="preserve">
Value:</t>
        </r>
        <r>
          <rPr>
            <sz val="9"/>
            <color indexed="81"/>
            <rFont val="Tahoma"/>
            <family val="2"/>
          </rPr>
          <t xml:space="preserve">
IFAS in-school program delivery + supplement Vietnam $0.63 (2015)
$0.65 (2017)</t>
        </r>
      </text>
    </comment>
    <comment ref="B16" authorId="0" shapeId="0">
      <text>
        <r>
          <rPr>
            <sz val="9"/>
            <color indexed="81"/>
            <rFont val="Tahoma"/>
            <family val="2"/>
          </rPr>
          <t>No data in MIS 2016-2017
WMR 2018
IPTp coverage in SSA for one, two or three doses respectively is 54%/42%/22%</t>
        </r>
      </text>
    </comment>
    <comment ref="D16" authorId="0" shapeId="0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
An Investment Framework for Nutrition pg 262 (original source White et al 2011)</t>
        </r>
        <r>
          <rPr>
            <b/>
            <sz val="9"/>
            <color indexed="81"/>
            <rFont val="Tahoma"/>
            <family val="2"/>
          </rPr>
          <t xml:space="preserve">
Value:</t>
        </r>
        <r>
          <rPr>
            <sz val="9"/>
            <color indexed="81"/>
            <rFont val="Tahoma"/>
            <family val="2"/>
          </rPr>
          <t xml:space="preserve">
Sub-Saharan Africa - IPTp $ 2.18 (2015)
$2.27 (2017)</t>
        </r>
      </text>
    </comment>
    <comment ref="B17" authorId="0" shapeId="0">
      <text>
        <r>
          <rPr>
            <sz val="9"/>
            <color indexed="81"/>
            <rFont val="Tahoma"/>
            <family val="2"/>
          </rPr>
          <t>LiST</t>
        </r>
      </text>
    </comment>
    <comment ref="B18" authorId="0" shapeId="0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>LiST</t>
        </r>
      </text>
    </comment>
    <comment ref="D18" authorId="0" shapeId="0">
      <text>
        <r>
          <rPr>
            <b/>
            <sz val="9"/>
            <color indexed="81"/>
            <rFont val="Tahoma"/>
            <family val="2"/>
          </rPr>
          <t>Source:</t>
        </r>
        <r>
          <rPr>
            <sz val="9"/>
            <color indexed="81"/>
            <rFont val="Tahoma"/>
            <family val="2"/>
          </rPr>
          <t xml:space="preserve"> Bhutta et al 2013 Evidence-based interventions for improvement of maternal and child nutrition: what can be done and at what cost? 
Supplementary material web appendix panel 14
https://www.thelancet.com/cms/10.1016/S0140-6736(13)60996-4/attachment/c59fe701-39f8-49e1-bc11-53032b08d0ae/mmc1.pdf</t>
        </r>
        <r>
          <rPr>
            <b/>
            <sz val="9"/>
            <color indexed="81"/>
            <rFont val="Tahoma"/>
            <family val="2"/>
          </rPr>
          <t xml:space="preserve">
Value: </t>
        </r>
        <r>
          <rPr>
            <sz val="9"/>
            <color indexed="81"/>
            <rFont val="Tahoma"/>
            <family val="2"/>
          </rPr>
          <t>WPRO B (Western Pacific Region) $5.05 (2010)
CPI inflation calculator Jan 2010-Jan 2017 = $5.66
FYI Tanzania: no info</t>
        </r>
      </text>
    </comment>
    <comment ref="D19" authorId="0" shapeId="0">
      <text>
        <r>
          <rPr>
            <b/>
            <sz val="9"/>
            <color indexed="81"/>
            <rFont val="Tahoma"/>
            <family val="2"/>
          </rPr>
          <t>Source:</t>
        </r>
        <r>
          <rPr>
            <sz val="9"/>
            <color indexed="81"/>
            <rFont val="Tahoma"/>
            <family val="2"/>
          </rPr>
          <t xml:space="preserve"> Bhutta et al 2013 Evidence-based interventions for improvement of maternal and child nutrition: what can be done and at what cost? 
Supplementary material web appendix panel 14
https://www.thelancet.com/cms/10.1016/S0140-6736(13)60996-4/attachment/c59fe701-39f8-49e1-bc11-53032b08d0ae/mmc1.pdf</t>
        </r>
        <r>
          <rPr>
            <b/>
            <sz val="9"/>
            <color indexed="81"/>
            <rFont val="Tahoma"/>
            <family val="2"/>
          </rPr>
          <t xml:space="preserve">
Value: </t>
        </r>
        <r>
          <rPr>
            <sz val="9"/>
            <color indexed="81"/>
            <rFont val="Tahoma"/>
            <family val="2"/>
          </rPr>
          <t>WPRO B (Western Pacific Region) $5.05 (2010)
CPI inflation calculator Jan 2010-Jan 2017 = $5.66
FYI Tanzania: no info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Source:</t>
        </r>
        <r>
          <rPr>
            <sz val="9"/>
            <color indexed="81"/>
            <rFont val="Tahoma"/>
            <family val="2"/>
          </rPr>
          <t xml:space="preserve"> Bhutta et al 2013 Evidence-based interventions for improvement of maternal and child nutrition: what can be done and at what cost? 
Supplementary material web appendix panel 14
https://www.thelancet.com/cms/10.1016/S0140-6736(13)60996-4/attachment/c59fe701-39f8-49e1-bc11-53032b08d0ae/mmc1.pdf</t>
        </r>
        <r>
          <rPr>
            <b/>
            <sz val="9"/>
            <color indexed="81"/>
            <rFont val="Tahoma"/>
            <family val="2"/>
          </rPr>
          <t xml:space="preserve">
Value: </t>
        </r>
        <r>
          <rPr>
            <sz val="9"/>
            <color indexed="81"/>
            <rFont val="Tahoma"/>
            <family val="2"/>
          </rPr>
          <t>WPRO B (Western Pacific Region) $5.05 (2010)
CPI inflation calculator Jan 2010-Jan 2017 = $5.66
FYI Tanzania: no info</t>
        </r>
      </text>
    </comment>
    <comment ref="B21" authorId="0" shapeId="0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>LiST</t>
        </r>
      </text>
    </comment>
    <comment ref="B23" authorId="0" shapeId="0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PNG MIS 2016-2017 page 4
</t>
        </r>
        <r>
          <rPr>
            <b/>
            <sz val="9"/>
            <color indexed="81"/>
            <rFont val="Tahoma"/>
            <family val="2"/>
          </rPr>
          <t>Value:</t>
        </r>
        <r>
          <rPr>
            <sz val="9"/>
            <color indexed="81"/>
            <rFont val="Tahoma"/>
            <family val="2"/>
          </rPr>
          <t xml:space="preserve">
Proportion of pregnant women and children under 5 that slept under an insecticide treated net the previous night were 59.6% and 59.5% respectively  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>LiST</t>
        </r>
      </text>
    </comment>
    <comment ref="B25" authorId="0" shapeId="0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>LiST</t>
        </r>
      </text>
    </comment>
    <comment ref="B27" authorId="0" shapeId="0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>LiST</t>
        </r>
      </text>
    </comment>
    <comment ref="B28" authorId="0" shapeId="0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LiST/DHS 2006 pg 130
</t>
        </r>
        <r>
          <rPr>
            <b/>
            <sz val="9"/>
            <color indexed="81"/>
            <rFont val="Tahoma"/>
            <family val="2"/>
          </rPr>
          <t xml:space="preserve">Value: *not really coverage??* </t>
        </r>
        <r>
          <rPr>
            <sz val="9"/>
            <color indexed="81"/>
            <rFont val="Tahoma"/>
            <family val="2"/>
          </rPr>
          <t>Of the children who were reported to have diarrhoea in the two weeks preceding the survey, 8 percent were given oral rehydration salts</t>
        </r>
      </text>
    </comment>
    <comment ref="D28" authorId="1" shapeId="0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Value = $1*2.2
= $2.20
Diarrhoea incidence is the average in children under 5.  See user guide for further information
</t>
        </r>
      </text>
    </comment>
    <comment ref="B29" authorId="0" shapeId="0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>LiST</t>
        </r>
      </text>
    </comment>
    <comment ref="D29" authorId="0" shapeId="0">
      <text>
        <r>
          <rPr>
            <b/>
            <sz val="9"/>
            <color indexed="81"/>
            <rFont val="Tahoma"/>
            <family val="2"/>
          </rPr>
          <t>Source:</t>
        </r>
        <r>
          <rPr>
            <sz val="9"/>
            <color indexed="81"/>
            <rFont val="Tahoma"/>
            <family val="2"/>
          </rPr>
          <t xml:space="preserve"> Bhutta et al 2013 Evidence-based interventions for improvement of maternal and child nutrition: what can be done and at what cost? 
Supplementary material web appendix panel 14
https://www.thelancet.com/cms/10.1016/S0140-6736(13)60996-4/attachment/c59fe701-39f8-49e1-bc11-53032b08d0ae/mmc1.pdf</t>
        </r>
        <r>
          <rPr>
            <b/>
            <sz val="9"/>
            <color indexed="81"/>
            <rFont val="Tahoma"/>
            <family val="2"/>
          </rPr>
          <t xml:space="preserve">
Value: </t>
        </r>
        <r>
          <rPr>
            <sz val="9"/>
            <color indexed="81"/>
            <rFont val="Tahoma"/>
            <family val="2"/>
          </rPr>
          <t xml:space="preserve">WPRO B (Western Pacific Region) $50.00 (2010)
CPI inflation calculator Jan 2010-Jan 2017 = $56.03
</t>
        </r>
      </text>
    </comment>
    <comment ref="B30" authorId="0" shapeId="0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>LiST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Source:</t>
        </r>
        <r>
          <rPr>
            <sz val="9"/>
            <color indexed="81"/>
            <rFont val="Tahoma"/>
            <family val="2"/>
          </rPr>
          <t xml:space="preserve"> Bhutta et al 2013 Evidence-based interventions for improvement of maternal and child nutrition: what can be done and at what cost? 
Supplementary material web appendix panel 14
https://www.thelancet.com/cms/10.1016/S0140-6736(13)60996-4/attachment/c59fe701-39f8-49e1-bc11-53032b08d0ae/mmc1.pdf</t>
        </r>
        <r>
          <rPr>
            <b/>
            <sz val="9"/>
            <color indexed="81"/>
            <rFont val="Tahoma"/>
            <family val="2"/>
          </rPr>
          <t xml:space="preserve">
Value: </t>
        </r>
        <r>
          <rPr>
            <sz val="9"/>
            <color indexed="81"/>
            <rFont val="Tahoma"/>
            <family val="2"/>
          </rPr>
          <t xml:space="preserve">WPRO B (Western Pacific Region) $198.25 (2010)
CPI inflation calculator Jan 2010-Jan 2017 = $222.18
Weighted SAM prevalence = =((0.058*1)+(0.058*5)+(0.043*5)+(0.037*11)+(0.02*35))/(1+5+5+11+35)
= 2.93%
Unit cost per person per year = 222.18*0.0293*2.6
= $16.93
</t>
        </r>
        <r>
          <rPr>
            <b/>
            <sz val="9"/>
            <color indexed="81"/>
            <rFont val="Tahoma"/>
            <family val="2"/>
          </rPr>
          <t>FYI:</t>
        </r>
        <r>
          <rPr>
            <sz val="9"/>
            <color indexed="81"/>
            <rFont val="Tahoma"/>
            <family val="2"/>
          </rPr>
          <t xml:space="preserve"> Tanzania $90</t>
        </r>
      </text>
    </comment>
    <comment ref="B31" authorId="0" shapeId="0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>LiST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Source:</t>
        </r>
        <r>
          <rPr>
            <sz val="9"/>
            <color indexed="81"/>
            <rFont val="Tahoma"/>
            <family val="2"/>
          </rPr>
          <t xml:space="preserve"> Bhutta et al 2013 Evidence-based interventions for improvement of maternal and child nutrition: what can be done and at what cost? 
Supplementary material web appendix panel 14
https://www.thelancet.com/cms/10.1016/S0140-6736(13)60996-4/attachment/c59fe701-39f8-49e1-bc11-53032b08d0ae/mmc1.pdf</t>
        </r>
        <r>
          <rPr>
            <b/>
            <sz val="9"/>
            <color indexed="81"/>
            <rFont val="Tahoma"/>
            <family val="2"/>
          </rPr>
          <t xml:space="preserve">
Value: </t>
        </r>
        <r>
          <rPr>
            <sz val="9"/>
            <color indexed="81"/>
            <rFont val="Tahoma"/>
            <family val="2"/>
          </rPr>
          <t>WPRO B (Western Pacific Region) $2.22 (2010)
CPI inflation calculator Jan 2010-Jan 2017 = $2.80
FYI Tanzania: 0.40 per child per year</t>
        </r>
      </text>
    </comment>
    <comment ref="B32" authorId="0" shapeId="0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>LiST</t>
        </r>
      </text>
    </comment>
    <comment ref="B33" authorId="0" shapeId="0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>LiST</t>
        </r>
      </text>
    </comment>
    <comment ref="B34" authorId="0" shapeId="0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>LiST</t>
        </r>
      </text>
    </comment>
    <comment ref="B35" authorId="0" shapeId="0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>LiST</t>
        </r>
      </text>
    </comment>
    <comment ref="D37" authorId="1" shapeId="0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= $1.5*2.2
=$3.30
Diarrhoea incidence is the average in children under 5.  See user guide for further information</t>
        </r>
      </text>
    </comment>
    <comment ref="B38" authorId="0" shapeId="0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LiST
</t>
        </r>
        <r>
          <rPr>
            <b/>
            <sz val="9"/>
            <color indexed="81"/>
            <rFont val="Tahoma"/>
            <family val="2"/>
          </rPr>
          <t>Value:</t>
        </r>
        <r>
          <rPr>
            <sz val="9"/>
            <color indexed="81"/>
            <rFont val="Tahoma"/>
            <family val="2"/>
          </rPr>
          <t xml:space="preserve"> Coverage zinc supplementation 0.0
</t>
        </r>
      </text>
    </comment>
    <comment ref="D38" authorId="0" shapeId="0">
      <text>
        <r>
          <rPr>
            <b/>
            <sz val="9"/>
            <color indexed="81"/>
            <rFont val="Tahoma"/>
            <family val="2"/>
          </rPr>
          <t>Source:</t>
        </r>
        <r>
          <rPr>
            <sz val="9"/>
            <color indexed="81"/>
            <rFont val="Tahoma"/>
            <family val="2"/>
          </rPr>
          <t xml:space="preserve"> Bhutta et al 2013 Evidence-based interventions for improvement of maternal and child nutrition: what can be done and at what cost? 
Supplementary material web appendix panel 14
https://www.thelancet.com/cms/10.1016/S0140-6736(13)60996-4/attachment/c59fe701-39f8-49e1-bc11-53032b08d0ae/mmc1.pdf</t>
        </r>
        <r>
          <rPr>
            <b/>
            <sz val="9"/>
            <color indexed="81"/>
            <rFont val="Tahoma"/>
            <family val="2"/>
          </rPr>
          <t xml:space="preserve">
Value: </t>
        </r>
        <r>
          <rPr>
            <sz val="9"/>
            <color indexed="81"/>
            <rFont val="Tahoma"/>
            <family val="2"/>
          </rPr>
          <t>WPRO B (Western Pacific Region) $5.05 (2010)
CPI inflation calculator Jan 2010-Jan 2017 = $5.66
FYI Tanzania: no info</t>
        </r>
      </text>
    </comment>
  </commentList>
</comments>
</file>

<file path=xl/comments7.xml><?xml version="1.0" encoding="utf-8"?>
<comments xmlns="http://schemas.openxmlformats.org/spreadsheetml/2006/main">
  <authors>
    <author>Sam</author>
  </authors>
  <commentList>
    <comment ref="B1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8.xml><?xml version="1.0" encoding="utf-8"?>
<comments xmlns="http://schemas.openxmlformats.org/spreadsheetml/2006/main">
  <authors>
    <author>Sam</author>
  </authors>
  <commentList>
    <comment ref="A1" authorId="0" shape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>
  <authors>
    <author>Nick Scott</author>
  </authors>
  <commentList>
    <comment ref="A36" authorId="0" shapeId="0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<sst xmlns="http://schemas.openxmlformats.org/spreadsheetml/2006/main" count="1101" uniqueCount="271">
  <si>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</si>
  <si>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</si>
  <si>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</si>
  <si>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</si>
  <si>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</si>
  <si>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</si>
  <si>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</si>
  <si>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</si>
  <si>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</si>
  <si>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</si>
  <si>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</si>
  <si>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</si>
  <si>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</si>
  <si>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</si>
  <si>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</si>
  <si>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</si>
  <si>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</si>
  <si>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</si>
  <si>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</si>
  <si>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</si>
  <si>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</si>
  <si>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</si>
  <si>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</si>
  <si>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</si>
  <si>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</si>
  <si>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</si>
  <si>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</si>
  <si>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</si>
  <si>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</si>
  <si>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</si>
  <si>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</si>
  <si>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</si>
  <si>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</si>
  <si>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</si>
  <si>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</si>
  <si>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</si>
  <si>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</si>
  <si>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</si>
  <si>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</si>
  <si>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</si>
  <si>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</si>
  <si>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</si>
  <si>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</si>
  <si>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</si>
  <si>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</si>
  <si>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</si>
  <si>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</si>
  <si>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</si>
  <si>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</si>
  <si>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</si>
  <si>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</si>
  <si>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</si>
  <si>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</si>
  <si>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</si>
  <si>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</si>
  <si>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</si>
  <si>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</si>
  <si>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</si>
  <si>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</si>
  <si>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</si>
  <si>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</si>
  <si>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</si>
  <si>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</si>
  <si>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</si>
  <si>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</si>
  <si>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</si>
  <si>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</si>
  <si>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</si>
  <si>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</si>
  <si>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</si>
  <si>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</si>
  <si>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</si>
  <si>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</si>
  <si>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</si>
  <si>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</si>
  <si>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</si>
  <si>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</si>
  <si>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</si>
  <si>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</si>
  <si>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</si>
  <si>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</si>
  <si>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</si>
  <si>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</si>
  <si>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</si>
  <si>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</si>
  <si>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</si>
  <si>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</si>
  <si>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</si>
  <si>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</si>
  <si>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</si>
  <si>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</si>
  <si>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</si>
  <si>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</si>
  <si>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</si>
  <si>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</si>
  <si>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</si>
  <si>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</si>
  <si>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</si>
  <si>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</si>
  <si>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</si>
  <si>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</si>
  <si>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</si>
  <si>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</si>
  <si>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</si>
  <si>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</si>
  <si>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</si>
  <si>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</si>
  <si>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</si>
  <si>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</si>
  <si>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</si>
  <si>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</si>
  <si>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</si>
  <si>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</si>
  <si>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</si>
  <si>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</si>
  <si>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</si>
  <si>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</si>
  <si>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</si>
  <si>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</si>
  <si>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</si>
  <si>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</si>
  <si>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</si>
  <si>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</si>
  <si>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</si>
  <si>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</si>
  <si>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</si>
  <si>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</si>
  <si>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</si>
  <si>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</si>
  <si>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</si>
  <si>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</si>
  <si>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</si>
  <si>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</si>
  <si>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</si>
  <si>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</si>
  <si>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</si>
  <si>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</si>
  <si>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</si>
  <si>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</si>
  <si>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</si>
  <si>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</si>
  <si>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</si>
  <si>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</si>
  <si>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</si>
  <si>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</si>
  <si>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</si>
  <si>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</si>
  <si>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</si>
  <si>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</si>
  <si>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</si>
  <si>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</si>
  <si>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</si>
  <si>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</si>
  <si>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</si>
  <si>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</si>
  <si>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</si>
  <si>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</si>
  <si>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</si>
  <si>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</si>
  <si>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</si>
  <si>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</si>
  <si>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</si>
  <si>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</si>
  <si>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</si>
  <si>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</si>
  <si>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</si>
  <si>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</si>
  <si>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</si>
  <si>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</si>
  <si>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</si>
  <si>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</si>
  <si>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</si>
  <si>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</si>
  <si>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</si>
  <si>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</si>
  <si>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</si>
  <si>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</si>
  <si>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</si>
  <si>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</si>
  <si>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</si>
  <si>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</si>
  <si>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</si>
  <si>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</si>
  <si>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</si>
  <si>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</si>
  <si>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</si>
  <si>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</si>
  <si>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</si>
  <si>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</si>
  <si>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</si>
  <si>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</si>
  <si>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</si>
  <si>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</si>
  <si>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</si>
  <si>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</si>
  <si>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Unit costs (US$) by delivery modality and target population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</si>
  <si>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</si>
  <si>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</si>
  <si>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</si>
  <si>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</si>
  <si>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</si>
  <si>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</si>
  <si>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</si>
  <si>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</si>
  <si>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</si>
  <si>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</si>
  <si>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</si>
  <si>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Unit cost (US$ per person per year)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</si>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</sst>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43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/>
    <xf numFmtId="2" fontId="1" fillId="0" borderId="0" xfId="726" applyNumberFormat="1"/>
    <xf numFmtId="0" fontId="1" fillId="0" borderId="0" xfId="726" applyFont="1" applyAlignment="1"/>
    <xf numFmtId="0" fontId="17" fillId="0" borderId="0" xfId="726" applyFont="1"/>
    <xf numFmtId="0" fontId="8" fillId="0" borderId="0" xfId="726" applyFont="1" applyAlignment="1"/>
    <xf numFmtId="0" fontId="8" fillId="0" borderId="0" xfId="726" applyFont="1" applyAlignment="1">
      <alignment wrapText="1"/>
    </xf>
    <xf numFmtId="167" fontId="20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1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9" fillId="3" borderId="1" xfId="725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1" fillId="0" borderId="0" xfId="725" applyFont="1" applyAlignment="1"/>
    <xf numFmtId="0" fontId="2" fillId="0" borderId="0" xfId="725" applyFont="1" applyAlignment="1"/>
    <xf numFmtId="0" fontId="21" fillId="0" borderId="0" xfId="725" applyFont="1" applyAlignment="1">
      <alignment horizontal="right" wrapText="1"/>
    </xf>
    <xf numFmtId="0" fontId="21" fillId="0" borderId="0" xfId="725" applyFont="1" applyFill="1" applyAlignment="1"/>
    <xf numFmtId="1" fontId="21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5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/>
    <cellStyle name="Normal 3" xfId="726"/>
    <cellStyle name="Percent" xfId="10" builtinId="5"/>
  </cellStyles>
  <dxfs count="2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7600"/>
  </sheetPr>
  <dimension ref="A1:E63"/>
  <sheetViews>
    <sheetView zoomScaleNormal="100" workbookViewId="0">
      <selection activeCell="C11" sqref="C11"/>
    </sheetView>
  </sheetViews>
  <sheetFormatPr defaultColWidth="14.42578125" defaultRowHeight="15.75" customHeight="1" x14ac:dyDescent="0.2"/>
  <cols>
    <col min="1" max="1" width="27.7109375" style="12" customWidth="1"/>
    <col min="2" max="2" width="38.7109375" style="16" customWidth="1"/>
    <col min="3" max="16384" width="14.42578125" style="12"/>
  </cols>
  <sheetData>
    <row r="1" spans="1:3" ht="15.95" customHeight="1" x14ac:dyDescent="0.2">
      <c r="A1" s="1" t="s">
        <v>100</v>
      </c>
      <c r="B1" s="41" t="s">
        <v>164</v>
      </c>
      <c r="C1" s="41" t="s">
        <v>165</v>
      </c>
    </row>
    <row r="2" spans="1:3" ht="15.95" customHeight="1" x14ac:dyDescent="0.2">
      <c r="A2" s="12" t="s">
        <v>191</v>
      </c>
      <c r="B2" s="41"/>
      <c r="C2" s="41"/>
    </row>
    <row r="3" spans="1:3" ht="15.95" customHeight="1" x14ac:dyDescent="0.2">
      <c r="A3" s="1"/>
      <c r="B3" s="7" t="s">
        <v>193</v>
      </c>
      <c r="C3" s="67">
        <v>2017</v>
      </c>
    </row>
    <row r="4" spans="1:3" ht="15.95" customHeight="1" x14ac:dyDescent="0.2">
      <c r="A4" s="1"/>
      <c r="B4" s="9" t="s">
        <v>192</v>
      </c>
      <c r="C4" s="68">
        <v>2030</v>
      </c>
    </row>
    <row r="5" spans="1:3" ht="15.95" customHeight="1" x14ac:dyDescent="0.2">
      <c r="A5" s="1"/>
      <c r="B5" s="41"/>
      <c r="C5" s="41"/>
    </row>
    <row r="6" spans="1:3" ht="15" customHeight="1" x14ac:dyDescent="0.2">
      <c r="A6" s="12" t="s">
        <v>48</v>
      </c>
    </row>
    <row r="7" spans="1:3" ht="15" customHeight="1" x14ac:dyDescent="0.2">
      <c r="B7" s="16" t="s">
        <v>210</v>
      </c>
      <c r="C7" s="69">
        <v>208509.2</v>
      </c>
    </row>
    <row r="8" spans="1:3" ht="15" customHeight="1" x14ac:dyDescent="0.2">
      <c r="B8" s="7" t="s">
        <v>106</v>
      </c>
      <c r="C8" s="70">
        <v>0.39900000000000002</v>
      </c>
    </row>
    <row r="9" spans="1:3" ht="15" customHeight="1" x14ac:dyDescent="0.2">
      <c r="B9" s="9" t="s">
        <v>107</v>
      </c>
      <c r="C9" s="71">
        <v>1</v>
      </c>
    </row>
    <row r="10" spans="1:3" ht="15" customHeight="1" x14ac:dyDescent="0.2">
      <c r="B10" s="9" t="s">
        <v>105</v>
      </c>
      <c r="C10" s="71">
        <v>0.29959999999999998</v>
      </c>
    </row>
    <row r="11" spans="1:3" ht="15" customHeight="1" x14ac:dyDescent="0.2">
      <c r="B11" s="7" t="s">
        <v>108</v>
      </c>
      <c r="C11" s="70">
        <v>0.63</v>
      </c>
    </row>
    <row r="12" spans="1:3" ht="15" customHeight="1" x14ac:dyDescent="0.2">
      <c r="B12" s="7" t="s">
        <v>109</v>
      </c>
      <c r="C12" s="70">
        <v>0.44500000000000001</v>
      </c>
    </row>
    <row r="13" spans="1:3" ht="15" customHeight="1" x14ac:dyDescent="0.2">
      <c r="B13" s="7" t="s">
        <v>110</v>
      </c>
      <c r="C13" s="70">
        <v>0.29799999999999999</v>
      </c>
    </row>
    <row r="14" spans="1:3" ht="15" customHeight="1" x14ac:dyDescent="0.2">
      <c r="B14" s="12"/>
    </row>
    <row r="15" spans="1:3" ht="15" customHeight="1" x14ac:dyDescent="0.2">
      <c r="A15" s="12" t="s">
        <v>30</v>
      </c>
      <c r="B15" s="19"/>
      <c r="C15" s="3"/>
    </row>
    <row r="16" spans="1:3" ht="15" customHeight="1" x14ac:dyDescent="0.2">
      <c r="B16" s="9" t="s">
        <v>94</v>
      </c>
      <c r="C16" s="71">
        <v>0.8</v>
      </c>
    </row>
    <row r="17" spans="1:3" ht="15" customHeight="1" x14ac:dyDescent="0.2">
      <c r="B17" s="9" t="s">
        <v>95</v>
      </c>
      <c r="C17" s="71">
        <v>0.8</v>
      </c>
    </row>
    <row r="18" spans="1:3" ht="15" customHeight="1" x14ac:dyDescent="0.2">
      <c r="B18" s="9" t="s">
        <v>96</v>
      </c>
      <c r="C18" s="71">
        <v>0.1</v>
      </c>
    </row>
    <row r="19" spans="1:3" ht="15" customHeight="1" x14ac:dyDescent="0.2">
      <c r="B19" s="9" t="s">
        <v>97</v>
      </c>
      <c r="C19" s="71">
        <v>0.1</v>
      </c>
    </row>
    <row r="20" spans="1:3" ht="15" customHeight="1" x14ac:dyDescent="0.2">
      <c r="B20" s="9" t="s">
        <v>98</v>
      </c>
      <c r="C20" s="72">
        <f>1-frac_rice-frac_wheat-frac_maize</f>
        <v>0</v>
      </c>
    </row>
    <row r="21" spans="1:3" ht="15" customHeight="1" x14ac:dyDescent="0.2">
      <c r="B21" s="12"/>
    </row>
    <row r="22" spans="1:3" ht="15" customHeight="1" x14ac:dyDescent="0.2">
      <c r="A22" s="12" t="s">
        <v>99</v>
      </c>
    </row>
    <row r="23" spans="1:3" ht="15" customHeight="1" x14ac:dyDescent="0.2">
      <c r="B23" s="20" t="s">
        <v>101</v>
      </c>
      <c r="C23" s="71">
        <v>8.4099999999999994E-2</v>
      </c>
    </row>
    <row r="24" spans="1:3" ht="15" customHeight="1" x14ac:dyDescent="0.2">
      <c r="B24" s="20" t="s">
        <v>102</v>
      </c>
      <c r="C24" s="71">
        <v>0.46600000000000003</v>
      </c>
    </row>
    <row r="25" spans="1:3" ht="15" customHeight="1" x14ac:dyDescent="0.2">
      <c r="B25" s="20" t="s">
        <v>103</v>
      </c>
      <c r="C25" s="71">
        <v>0.34670000000000001</v>
      </c>
    </row>
    <row r="26" spans="1:3" ht="15" customHeight="1" x14ac:dyDescent="0.2">
      <c r="B26" s="20" t="s">
        <v>104</v>
      </c>
      <c r="C26" s="71">
        <v>0.1032</v>
      </c>
    </row>
    <row r="27" spans="1:3" ht="15" customHeight="1" x14ac:dyDescent="0.2">
      <c r="B27" s="20"/>
      <c r="C27" s="20"/>
    </row>
    <row r="28" spans="1:3" ht="15" customHeight="1" x14ac:dyDescent="0.2">
      <c r="A28" s="12" t="s">
        <v>197</v>
      </c>
      <c r="B28" s="20"/>
      <c r="C28" s="20"/>
    </row>
    <row r="29" spans="1:3" ht="14.25" customHeight="1" x14ac:dyDescent="0.2">
      <c r="B29" s="30" t="s">
        <v>75</v>
      </c>
      <c r="C29" s="73">
        <v>0.223</v>
      </c>
    </row>
    <row r="30" spans="1:3" ht="14.25" customHeight="1" x14ac:dyDescent="0.2">
      <c r="B30" s="30" t="s">
        <v>76</v>
      </c>
      <c r="C30" s="73">
        <v>0.11700000000000001</v>
      </c>
    </row>
    <row r="31" spans="1:3" ht="14.25" customHeight="1" x14ac:dyDescent="0.2">
      <c r="B31" s="30" t="s">
        <v>77</v>
      </c>
      <c r="C31" s="73">
        <v>0.161</v>
      </c>
    </row>
    <row r="32" spans="1:3" ht="14.25" customHeight="1" x14ac:dyDescent="0.2">
      <c r="B32" s="30" t="s">
        <v>78</v>
      </c>
      <c r="C32" s="73">
        <v>0.499</v>
      </c>
    </row>
    <row r="33" spans="1:5" ht="12.75" x14ac:dyDescent="0.2">
      <c r="B33" s="32" t="s">
        <v>129</v>
      </c>
      <c r="C33" s="74">
        <f>SUM(C29:C32)</f>
        <v>1</v>
      </c>
    </row>
    <row r="34" spans="1:5" ht="15" customHeight="1" x14ac:dyDescent="0.2"/>
    <row r="35" spans="1:5" ht="15" customHeight="1" x14ac:dyDescent="0.2">
      <c r="A35" s="4" t="s">
        <v>135</v>
      </c>
    </row>
    <row r="36" spans="1:5" ht="15" customHeight="1" x14ac:dyDescent="0.2">
      <c r="A36" s="12" t="s">
        <v>74</v>
      </c>
      <c r="B36" s="7"/>
      <c r="C36" s="13"/>
    </row>
    <row r="37" spans="1:5" ht="15" customHeight="1" x14ac:dyDescent="0.2">
      <c r="B37" s="42" t="s">
        <v>92</v>
      </c>
      <c r="C37" s="75">
        <v>24.7</v>
      </c>
    </row>
    <row r="38" spans="1:5" ht="15" customHeight="1" x14ac:dyDescent="0.2">
      <c r="B38" s="16" t="s">
        <v>91</v>
      </c>
      <c r="C38" s="75">
        <v>44.4</v>
      </c>
      <c r="D38" s="17"/>
      <c r="E38" s="18"/>
    </row>
    <row r="39" spans="1:5" ht="15" customHeight="1" x14ac:dyDescent="0.2">
      <c r="B39" s="16" t="s">
        <v>90</v>
      </c>
      <c r="C39" s="75">
        <v>57.1</v>
      </c>
      <c r="D39" s="17"/>
      <c r="E39" s="17"/>
    </row>
    <row r="40" spans="1:5" ht="15" customHeight="1" x14ac:dyDescent="0.2">
      <c r="B40" s="16" t="s">
        <v>171</v>
      </c>
      <c r="C40" s="75">
        <v>5</v>
      </c>
    </row>
    <row r="41" spans="1:5" ht="15" customHeight="1" x14ac:dyDescent="0.2">
      <c r="B41" s="16" t="s">
        <v>89</v>
      </c>
      <c r="C41" s="71">
        <v>0.13</v>
      </c>
    </row>
    <row r="42" spans="1:5" ht="15" customHeight="1" x14ac:dyDescent="0.2">
      <c r="B42" s="42" t="s">
        <v>93</v>
      </c>
      <c r="C42" s="75">
        <v>5</v>
      </c>
    </row>
    <row r="43" spans="1:5" ht="15.75" customHeight="1" x14ac:dyDescent="0.2">
      <c r="D43" s="17"/>
    </row>
    <row r="44" spans="1:5" ht="15.75" customHeight="1" x14ac:dyDescent="0.2">
      <c r="A44" s="12" t="s">
        <v>133</v>
      </c>
      <c r="D44" s="17"/>
    </row>
    <row r="45" spans="1:5" ht="15.75" customHeight="1" x14ac:dyDescent="0.2">
      <c r="B45" s="16" t="s">
        <v>9</v>
      </c>
      <c r="C45" s="71">
        <v>1.46E-2</v>
      </c>
      <c r="D45" s="17"/>
    </row>
    <row r="46" spans="1:5" ht="15.75" customHeight="1" x14ac:dyDescent="0.2">
      <c r="B46" s="16" t="s">
        <v>11</v>
      </c>
      <c r="C46" s="71">
        <v>5.0799999999999998E-2</v>
      </c>
      <c r="D46" s="17"/>
    </row>
    <row r="47" spans="1:5" ht="15.75" customHeight="1" x14ac:dyDescent="0.2">
      <c r="B47" s="16" t="s">
        <v>12</v>
      </c>
      <c r="C47" s="71">
        <v>0.2014</v>
      </c>
      <c r="D47" s="17"/>
      <c r="E47" s="18"/>
    </row>
    <row r="48" spans="1:5" ht="15" customHeight="1" x14ac:dyDescent="0.2">
      <c r="B48" s="16" t="s">
        <v>26</v>
      </c>
      <c r="C48" s="72">
        <f>1-term_SGA-preterm_AGA-preterm_SGA</f>
        <v>0.73320000000000007</v>
      </c>
      <c r="D48" s="17"/>
      <c r="E48" s="17"/>
    </row>
    <row r="49" spans="1:4" ht="15.75" customHeight="1" x14ac:dyDescent="0.2">
      <c r="D49" s="17"/>
    </row>
    <row r="50" spans="1:4" ht="15.75" customHeight="1" x14ac:dyDescent="0.2">
      <c r="A50" s="12" t="s">
        <v>72</v>
      </c>
      <c r="D50" s="17"/>
    </row>
    <row r="51" spans="1:4" ht="15.75" customHeight="1" x14ac:dyDescent="0.2">
      <c r="B51" s="16" t="s">
        <v>124</v>
      </c>
      <c r="C51" s="76">
        <v>2.2000000000000002</v>
      </c>
      <c r="D51" s="17"/>
    </row>
    <row r="52" spans="1:4" ht="15" customHeight="1" x14ac:dyDescent="0.2">
      <c r="B52" s="16" t="s">
        <v>125</v>
      </c>
      <c r="C52" s="76">
        <v>2.2000000000000002</v>
      </c>
    </row>
    <row r="53" spans="1:4" ht="15.75" customHeight="1" x14ac:dyDescent="0.2">
      <c r="B53" s="16" t="s">
        <v>126</v>
      </c>
      <c r="C53" s="76">
        <v>2.2000000000000002</v>
      </c>
    </row>
    <row r="54" spans="1:4" ht="15.75" customHeight="1" x14ac:dyDescent="0.2">
      <c r="B54" s="16" t="s">
        <v>127</v>
      </c>
      <c r="C54" s="76">
        <v>2.2000000000000002</v>
      </c>
    </row>
    <row r="55" spans="1:4" ht="15.75" customHeight="1" x14ac:dyDescent="0.2">
      <c r="B55" s="16" t="s">
        <v>128</v>
      </c>
      <c r="C55" s="76">
        <v>2.2000000000000002</v>
      </c>
    </row>
    <row r="57" spans="1:4" ht="15.75" customHeight="1" x14ac:dyDescent="0.2">
      <c r="A57" s="12" t="s">
        <v>134</v>
      </c>
    </row>
    <row r="58" spans="1:4" ht="15.75" customHeight="1" x14ac:dyDescent="0.2">
      <c r="B58" s="7" t="s">
        <v>111</v>
      </c>
      <c r="C58" s="70">
        <f>270/1000</f>
        <v>0.27</v>
      </c>
    </row>
    <row r="59" spans="1:4" ht="15.75" customHeight="1" x14ac:dyDescent="0.2">
      <c r="B59" s="16" t="s">
        <v>132</v>
      </c>
      <c r="C59" s="70">
        <v>0.4037</v>
      </c>
    </row>
    <row r="63" spans="1:4" ht="15.75" customHeight="1" x14ac:dyDescent="0.2">
      <c r="A63" s="4"/>
    </row>
  </sheetData>
  <sheetProtection password="CA9F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E9"/>
  <sheetViews>
    <sheetView workbookViewId="0">
      <selection activeCell="C2" sqref="C2:E6"/>
    </sheetView>
  </sheetViews>
  <sheetFormatPr defaultColWidth="10.85546875" defaultRowHeight="15.75" x14ac:dyDescent="0.25"/>
  <cols>
    <col min="1" max="1" width="18.7109375" style="55" customWidth="1"/>
    <col min="2" max="16384" width="10.85546875" style="55"/>
  </cols>
  <sheetData>
    <row r="1" spans="1:5" ht="51.75" x14ac:dyDescent="0.25">
      <c r="A1" s="60" t="s">
        <v>195</v>
      </c>
      <c r="B1" s="59" t="s">
        <v>177</v>
      </c>
      <c r="C1" s="59" t="s">
        <v>176</v>
      </c>
      <c r="D1" s="59" t="s">
        <v>175</v>
      </c>
      <c r="E1" s="59" t="s">
        <v>174</v>
      </c>
    </row>
    <row r="2" spans="1:5" x14ac:dyDescent="0.25">
      <c r="A2" s="58" t="s">
        <v>164</v>
      </c>
      <c r="B2" s="57" t="s">
        <v>32</v>
      </c>
      <c r="C2" s="86">
        <f>1.5*0.61</f>
        <v>0.91500000000000004</v>
      </c>
      <c r="D2" s="86">
        <v>3.78</v>
      </c>
      <c r="E2" s="86">
        <v>0.05</v>
      </c>
    </row>
    <row r="3" spans="1:5" x14ac:dyDescent="0.25">
      <c r="A3" s="57"/>
      <c r="B3" s="57" t="s">
        <v>1</v>
      </c>
      <c r="C3" s="86">
        <f>1.5*0.61</f>
        <v>0.91500000000000004</v>
      </c>
      <c r="D3" s="86">
        <f>10.49/4</f>
        <v>2.6225000000000001</v>
      </c>
      <c r="E3" s="86">
        <v>0.05</v>
      </c>
    </row>
    <row r="4" spans="1:5" x14ac:dyDescent="0.25">
      <c r="A4" s="57"/>
      <c r="B4" s="57" t="s">
        <v>2</v>
      </c>
      <c r="C4" s="86">
        <f>1.5*0.61</f>
        <v>0.91500000000000004</v>
      </c>
      <c r="D4" s="86">
        <f>10.49/4</f>
        <v>2.6225000000000001</v>
      </c>
      <c r="E4" s="86">
        <v>0.05</v>
      </c>
    </row>
    <row r="5" spans="1:5" x14ac:dyDescent="0.25">
      <c r="A5" s="57"/>
      <c r="B5" s="57" t="s">
        <v>3</v>
      </c>
      <c r="C5" s="86">
        <f>1.5*0.61</f>
        <v>0.91500000000000004</v>
      </c>
      <c r="D5" s="86">
        <f>10.49/4</f>
        <v>2.6225000000000001</v>
      </c>
      <c r="E5" s="86">
        <v>0.05</v>
      </c>
    </row>
    <row r="6" spans="1:5" x14ac:dyDescent="0.25">
      <c r="A6" s="57"/>
      <c r="B6" s="57" t="s">
        <v>4</v>
      </c>
      <c r="C6" s="86">
        <f>1.5*0.61</f>
        <v>0.91500000000000004</v>
      </c>
      <c r="D6" s="86">
        <f>10.49/4</f>
        <v>2.6225000000000001</v>
      </c>
      <c r="E6" s="86">
        <v>0.05</v>
      </c>
    </row>
    <row r="9" spans="1:5" x14ac:dyDescent="0.25">
      <c r="C9" s="56"/>
    </row>
  </sheetData>
  <sheetProtection algorithmName="SHA-512" hashValue="YkAilk8U5+WtZR6nCkfDN8ui35T9ch6F4SSGibHKz/fgd0cR7PN7XzCjrZgYy30yo3z4WSXsLO+I4aha1E8L9A==" saltValue="EovjrZ5MFBvM1LapaFAkZA==" spinCount="100000" sheet="1" scenarios="1" selectLockedCell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-0.249977111117893"/>
  </sheetPr>
  <dimension ref="A1:C20"/>
  <sheetViews>
    <sheetView workbookViewId="0">
      <selection activeCell="B4" sqref="B4"/>
    </sheetView>
  </sheetViews>
  <sheetFormatPr defaultColWidth="11.42578125" defaultRowHeight="12.75" x14ac:dyDescent="0.2"/>
  <cols>
    <col min="1" max="1" width="53" style="52" bestFit="1" customWidth="1"/>
    <col min="2" max="2" width="47.85546875" style="35" customWidth="1"/>
    <col min="3" max="3" width="42.42578125" style="35" customWidth="1"/>
    <col min="4" max="16384" width="11.42578125" style="35"/>
  </cols>
  <sheetData>
    <row r="1" spans="1:3" x14ac:dyDescent="0.2">
      <c r="A1" s="40" t="s">
        <v>69</v>
      </c>
      <c r="B1" s="40" t="s">
        <v>180</v>
      </c>
      <c r="C1" s="40" t="s">
        <v>179</v>
      </c>
    </row>
    <row r="2" spans="1:3" x14ac:dyDescent="0.2">
      <c r="A2" s="88" t="s">
        <v>187</v>
      </c>
      <c r="B2" s="84" t="s">
        <v>59</v>
      </c>
      <c r="C2" s="84"/>
    </row>
    <row r="3" spans="1:3" x14ac:dyDescent="0.2">
      <c r="A3" s="88" t="s">
        <v>209</v>
      </c>
      <c r="B3" s="84" t="s">
        <v>59</v>
      </c>
      <c r="C3" s="84"/>
    </row>
    <row r="4" spans="1:3" x14ac:dyDescent="0.2">
      <c r="A4" s="89" t="s">
        <v>58</v>
      </c>
      <c r="B4" s="84" t="s">
        <v>136</v>
      </c>
      <c r="C4" s="84"/>
    </row>
    <row r="5" spans="1:3" x14ac:dyDescent="0.2">
      <c r="A5" s="89" t="s">
        <v>137</v>
      </c>
      <c r="B5" s="84" t="s">
        <v>136</v>
      </c>
      <c r="C5" s="84"/>
    </row>
    <row r="6" spans="1:3" x14ac:dyDescent="0.2">
      <c r="A6" s="89"/>
      <c r="B6" s="90"/>
      <c r="C6" s="90"/>
    </row>
    <row r="7" spans="1:3" x14ac:dyDescent="0.2">
      <c r="A7" s="89"/>
      <c r="B7" s="90"/>
      <c r="C7" s="90"/>
    </row>
    <row r="8" spans="1:3" x14ac:dyDescent="0.2">
      <c r="A8" s="89"/>
      <c r="B8" s="90"/>
      <c r="C8" s="90"/>
    </row>
    <row r="9" spans="1:3" x14ac:dyDescent="0.2">
      <c r="A9" s="89"/>
      <c r="B9" s="90"/>
      <c r="C9" s="90"/>
    </row>
    <row r="10" spans="1:3" x14ac:dyDescent="0.2">
      <c r="A10" s="89"/>
      <c r="B10" s="90"/>
      <c r="C10" s="90"/>
    </row>
    <row r="11" spans="1:3" x14ac:dyDescent="0.2">
      <c r="A11" s="91"/>
      <c r="B11" s="90"/>
      <c r="C11" s="90"/>
    </row>
    <row r="12" spans="1:3" x14ac:dyDescent="0.2">
      <c r="A12" s="91"/>
      <c r="B12" s="90"/>
      <c r="C12" s="90"/>
    </row>
    <row r="13" spans="1:3" x14ac:dyDescent="0.2">
      <c r="A13" s="91"/>
      <c r="B13" s="90"/>
      <c r="C13" s="90"/>
    </row>
    <row r="14" spans="1:3" x14ac:dyDescent="0.2">
      <c r="A14" s="91"/>
      <c r="B14" s="90"/>
      <c r="C14" s="90"/>
    </row>
    <row r="15" spans="1:3" x14ac:dyDescent="0.2">
      <c r="A15" s="91"/>
      <c r="B15" s="90"/>
      <c r="C15" s="90"/>
    </row>
    <row r="16" spans="1:3" x14ac:dyDescent="0.2">
      <c r="A16" s="91"/>
      <c r="B16" s="90"/>
      <c r="C16" s="90"/>
    </row>
    <row r="17" spans="1:3" x14ac:dyDescent="0.2">
      <c r="A17" s="91"/>
      <c r="B17" s="90"/>
      <c r="C17" s="90"/>
    </row>
    <row r="18" spans="1:3" x14ac:dyDescent="0.2">
      <c r="A18" s="91"/>
      <c r="B18" s="90"/>
      <c r="C18" s="90"/>
    </row>
    <row r="19" spans="1:3" x14ac:dyDescent="0.2">
      <c r="A19" s="89"/>
      <c r="B19" s="90"/>
      <c r="C19" s="90"/>
    </row>
    <row r="20" spans="1:3" x14ac:dyDescent="0.2">
      <c r="A20" s="89"/>
      <c r="B20" s="90"/>
      <c r="C20" s="90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35" customWidth="1"/>
    <col min="2" max="16384" width="11.42578125" style="35"/>
  </cols>
  <sheetData>
    <row r="1" spans="1:1" x14ac:dyDescent="0.2">
      <c r="A1" s="40" t="s">
        <v>69</v>
      </c>
    </row>
    <row r="2" spans="1:1" x14ac:dyDescent="0.2">
      <c r="A2" s="48" t="s">
        <v>198</v>
      </c>
    </row>
    <row r="3" spans="1:1" x14ac:dyDescent="0.2">
      <c r="A3" s="48" t="s">
        <v>57</v>
      </c>
    </row>
    <row r="4" spans="1:1" x14ac:dyDescent="0.2">
      <c r="A4" s="48" t="s">
        <v>34</v>
      </c>
    </row>
    <row r="5" spans="1:1" x14ac:dyDescent="0.2">
      <c r="A5" s="48" t="s">
        <v>83</v>
      </c>
    </row>
    <row r="6" spans="1:1" x14ac:dyDescent="0.2">
      <c r="A6" s="48" t="s">
        <v>82</v>
      </c>
    </row>
    <row r="7" spans="1:1" x14ac:dyDescent="0.2">
      <c r="A7" s="48" t="s">
        <v>81</v>
      </c>
    </row>
    <row r="8" spans="1:1" x14ac:dyDescent="0.2">
      <c r="A8" s="48" t="s">
        <v>79</v>
      </c>
    </row>
    <row r="9" spans="1:1" x14ac:dyDescent="0.2">
      <c r="A9" s="48" t="s">
        <v>80</v>
      </c>
    </row>
    <row r="10" spans="1:1" x14ac:dyDescent="0.2">
      <c r="A10" s="48"/>
    </row>
    <row r="11" spans="1:1" x14ac:dyDescent="0.2">
      <c r="A11" s="48"/>
    </row>
    <row r="12" spans="1:1" x14ac:dyDescent="0.2">
      <c r="A12" s="48"/>
    </row>
    <row r="13" spans="1:1" x14ac:dyDescent="0.2">
      <c r="A13" s="48"/>
    </row>
    <row r="14" spans="1:1" x14ac:dyDescent="0.2">
      <c r="A14" s="48"/>
    </row>
    <row r="15" spans="1:1" x14ac:dyDescent="0.2">
      <c r="A15" s="48"/>
    </row>
    <row r="16" spans="1:1" x14ac:dyDescent="0.2">
      <c r="A16" s="48"/>
    </row>
    <row r="17" spans="1:1" x14ac:dyDescent="0.2">
      <c r="A17" s="48"/>
    </row>
    <row r="18" spans="1:1" x14ac:dyDescent="0.2">
      <c r="A18" s="48"/>
    </row>
    <row r="19" spans="1:1" x14ac:dyDescent="0.2">
      <c r="A19" s="48"/>
    </row>
  </sheetData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</sheetPr>
  <dimension ref="A1:F4"/>
  <sheetViews>
    <sheetView workbookViewId="0">
      <selection activeCell="C2" sqref="C2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">
      <c r="A2" s="3" t="s">
        <v>71</v>
      </c>
      <c r="B2" s="26">
        <f>'Baseline year population inputs'!C51</f>
        <v>2.2000000000000002</v>
      </c>
      <c r="C2" s="26">
        <f>'Baseline year population inputs'!C52</f>
        <v>2.2000000000000002</v>
      </c>
      <c r="D2" s="26">
        <f>'Baseline year population inputs'!C53</f>
        <v>2.2000000000000002</v>
      </c>
      <c r="E2" s="26">
        <f>'Baseline year population inputs'!C54</f>
        <v>2.2000000000000002</v>
      </c>
      <c r="F2" s="26">
        <f>'Baseline year population inputs'!C55</f>
        <v>2.2000000000000002</v>
      </c>
    </row>
    <row r="3" spans="1:6" ht="15.75" customHeight="1" x14ac:dyDescent="0.2">
      <c r="A3" s="3" t="s">
        <v>65</v>
      </c>
      <c r="B3" s="26">
        <f>frac_mam_1month * 2.6</f>
        <v>0.96460000000000001</v>
      </c>
      <c r="C3" s="26">
        <f>frac_mam_1_5months * 2.6</f>
        <v>0.96460000000000001</v>
      </c>
      <c r="D3" s="26">
        <f>frac_mam_6_11months * 2.6</f>
        <v>0.58760000000000001</v>
      </c>
      <c r="E3" s="26">
        <f>frac_mam_12_23months * 2.6</f>
        <v>0.49766122448979605</v>
      </c>
      <c r="F3" s="26">
        <f>frac_mam_24_59months * 2.6</f>
        <v>0.26105197368421051</v>
      </c>
    </row>
    <row r="4" spans="1:6" ht="15.75" customHeight="1" x14ac:dyDescent="0.2">
      <c r="A4" s="3" t="s">
        <v>66</v>
      </c>
      <c r="B4" s="26">
        <f>frac_sam_1month * 2.6</f>
        <v>0</v>
      </c>
      <c r="C4" s="26">
        <f>frac_sam_1_5months * 2.6</f>
        <v>0</v>
      </c>
      <c r="D4" s="26">
        <f>frac_sam_6_11months * 2.6</f>
        <v>0</v>
      </c>
      <c r="E4" s="26">
        <f>frac_sam_12_23months * 2.6</f>
        <v>8.9938775510204086E-2</v>
      </c>
      <c r="F4" s="26">
        <f>frac_sam_24_59months * 2.6</f>
        <v>7.9548026315789458E-2</v>
      </c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O39"/>
  <sheetViews>
    <sheetView zoomScale="85" zoomScaleNormal="118" workbookViewId="0">
      <selection activeCell="C35" sqref="C35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">
      <c r="A2" s="4" t="s">
        <v>31</v>
      </c>
      <c r="B2" s="11" t="s">
        <v>61</v>
      </c>
      <c r="C2" s="92">
        <v>0</v>
      </c>
      <c r="D2" s="92">
        <f>food_insecure</f>
        <v>0.39900000000000002</v>
      </c>
      <c r="E2" s="92">
        <f>food_insecure</f>
        <v>0.39900000000000002</v>
      </c>
      <c r="F2" s="92">
        <f>food_insecure</f>
        <v>0.39900000000000002</v>
      </c>
      <c r="G2" s="92">
        <f>food_insecure</f>
        <v>0.39900000000000002</v>
      </c>
      <c r="H2" s="93">
        <v>0</v>
      </c>
      <c r="I2" s="93">
        <v>0</v>
      </c>
      <c r="J2" s="93">
        <v>0</v>
      </c>
      <c r="K2" s="93">
        <v>0</v>
      </c>
      <c r="L2" s="93">
        <v>0</v>
      </c>
      <c r="M2" s="93">
        <v>0</v>
      </c>
      <c r="N2" s="93">
        <v>0</v>
      </c>
      <c r="O2" s="93">
        <v>0</v>
      </c>
    </row>
    <row r="3" spans="1:15" ht="15.75" customHeight="1" x14ac:dyDescent="0.2">
      <c r="B3" s="7" t="s">
        <v>149</v>
      </c>
      <c r="C3" s="92">
        <v>1</v>
      </c>
      <c r="D3" s="92">
        <v>0</v>
      </c>
      <c r="E3" s="92">
        <v>0</v>
      </c>
      <c r="F3" s="92">
        <v>0</v>
      </c>
      <c r="G3" s="92">
        <v>0</v>
      </c>
      <c r="H3" s="93">
        <v>0</v>
      </c>
      <c r="I3" s="93">
        <v>0</v>
      </c>
      <c r="J3" s="93">
        <v>0</v>
      </c>
      <c r="K3" s="93">
        <v>0</v>
      </c>
      <c r="L3" s="93">
        <v>0</v>
      </c>
      <c r="M3" s="93">
        <v>0</v>
      </c>
      <c r="N3" s="93">
        <v>0</v>
      </c>
      <c r="O3" s="93">
        <v>0</v>
      </c>
    </row>
    <row r="4" spans="1:15" ht="15.75" customHeight="1" x14ac:dyDescent="0.2">
      <c r="B4" s="7" t="s">
        <v>196</v>
      </c>
      <c r="C4" s="92">
        <v>1</v>
      </c>
      <c r="D4" s="92">
        <v>0</v>
      </c>
      <c r="E4" s="92">
        <v>0</v>
      </c>
      <c r="F4" s="92">
        <v>0</v>
      </c>
      <c r="G4" s="92">
        <v>0</v>
      </c>
      <c r="H4" s="93">
        <v>0</v>
      </c>
      <c r="I4" s="93">
        <v>0</v>
      </c>
      <c r="J4" s="93">
        <v>0</v>
      </c>
      <c r="K4" s="93">
        <v>0</v>
      </c>
      <c r="L4" s="93">
        <v>0</v>
      </c>
      <c r="M4" s="93">
        <v>0</v>
      </c>
      <c r="N4" s="93">
        <v>0</v>
      </c>
      <c r="O4" s="93">
        <v>0</v>
      </c>
    </row>
    <row r="5" spans="1:15" ht="15.75" customHeight="1" x14ac:dyDescent="0.2">
      <c r="B5" s="11" t="s">
        <v>136</v>
      </c>
      <c r="C5" s="92">
        <v>0</v>
      </c>
      <c r="D5" s="92">
        <v>0</v>
      </c>
      <c r="E5" s="92">
        <f>food_insecure</f>
        <v>0.39900000000000002</v>
      </c>
      <c r="F5" s="92">
        <f>food_insecure</f>
        <v>0.39900000000000002</v>
      </c>
      <c r="G5" s="92">
        <v>0</v>
      </c>
      <c r="H5" s="93">
        <v>0</v>
      </c>
      <c r="I5" s="93">
        <v>0</v>
      </c>
      <c r="J5" s="93">
        <v>0</v>
      </c>
      <c r="K5" s="93">
        <v>0</v>
      </c>
      <c r="L5" s="93">
        <v>0</v>
      </c>
      <c r="M5" s="93">
        <v>0</v>
      </c>
      <c r="N5" s="93">
        <v>0</v>
      </c>
      <c r="O5" s="93">
        <v>0</v>
      </c>
    </row>
    <row r="6" spans="1:15" ht="15.75" customHeight="1" x14ac:dyDescent="0.2">
      <c r="B6" s="11" t="s">
        <v>137</v>
      </c>
      <c r="C6" s="92">
        <v>0</v>
      </c>
      <c r="D6" s="92">
        <v>0</v>
      </c>
      <c r="E6" s="92">
        <f>1</f>
        <v>1</v>
      </c>
      <c r="F6" s="92">
        <f>1</f>
        <v>1</v>
      </c>
      <c r="G6" s="92">
        <f>1</f>
        <v>1</v>
      </c>
      <c r="H6" s="93">
        <v>0</v>
      </c>
      <c r="I6" s="93">
        <v>0</v>
      </c>
      <c r="J6" s="93">
        <v>0</v>
      </c>
      <c r="K6" s="93">
        <v>0</v>
      </c>
      <c r="L6" s="93">
        <v>0</v>
      </c>
      <c r="M6" s="93">
        <v>0</v>
      </c>
      <c r="N6" s="93">
        <v>0</v>
      </c>
      <c r="O6" s="93">
        <v>0</v>
      </c>
    </row>
    <row r="7" spans="1:15" ht="15.75" customHeight="1" x14ac:dyDescent="0.2">
      <c r="B7" s="33" t="s">
        <v>84</v>
      </c>
      <c r="C7" s="92">
        <f>diarrhoea_1mo/26</f>
        <v>8.461538461538462E-2</v>
      </c>
      <c r="D7" s="92">
        <f>diarrhoea_1_5mo/26</f>
        <v>8.461538461538462E-2</v>
      </c>
      <c r="E7" s="92">
        <f>diarrhoea_6_11mo/26</f>
        <v>8.461538461538462E-2</v>
      </c>
      <c r="F7" s="92">
        <f>diarrhoea_12_23mo/26</f>
        <v>8.461538461538462E-2</v>
      </c>
      <c r="G7" s="92">
        <f>diarrhoea_24_59mo/26</f>
        <v>8.461538461538462E-2</v>
      </c>
      <c r="H7" s="93">
        <v>0</v>
      </c>
      <c r="I7" s="93">
        <v>0</v>
      </c>
      <c r="J7" s="93">
        <v>0</v>
      </c>
      <c r="K7" s="93">
        <v>0</v>
      </c>
      <c r="L7" s="93">
        <v>0</v>
      </c>
      <c r="M7" s="93">
        <v>0</v>
      </c>
      <c r="N7" s="93">
        <v>0</v>
      </c>
      <c r="O7" s="93">
        <v>0</v>
      </c>
    </row>
    <row r="8" spans="1:15" ht="15.75" customHeight="1" x14ac:dyDescent="0.2">
      <c r="B8" s="11" t="s">
        <v>58</v>
      </c>
      <c r="C8" s="92">
        <v>0</v>
      </c>
      <c r="D8" s="92">
        <v>0</v>
      </c>
      <c r="E8" s="92">
        <f>food_insecure</f>
        <v>0.39900000000000002</v>
      </c>
      <c r="F8" s="92">
        <f>food_insecure</f>
        <v>0.39900000000000002</v>
      </c>
      <c r="G8" s="92">
        <v>0</v>
      </c>
      <c r="H8" s="93">
        <v>0</v>
      </c>
      <c r="I8" s="93">
        <v>0</v>
      </c>
      <c r="J8" s="93">
        <v>0</v>
      </c>
      <c r="K8" s="93">
        <v>0</v>
      </c>
      <c r="L8" s="93">
        <v>0</v>
      </c>
      <c r="M8" s="93">
        <v>0</v>
      </c>
      <c r="N8" s="93">
        <v>0</v>
      </c>
      <c r="O8" s="93">
        <v>0</v>
      </c>
    </row>
    <row r="9" spans="1:15" ht="15.75" customHeight="1" x14ac:dyDescent="0.2">
      <c r="B9" s="11" t="s">
        <v>67</v>
      </c>
      <c r="C9" s="92">
        <v>0</v>
      </c>
      <c r="D9" s="92">
        <f>IF(ISBLANK(comm_deliv), frac_children_health_facility,1)</f>
        <v>0.44500000000000001</v>
      </c>
      <c r="E9" s="92">
        <f>IF(ISBLANK(comm_deliv), frac_children_health_facility,1)</f>
        <v>0.44500000000000001</v>
      </c>
      <c r="F9" s="92">
        <f>IF(ISBLANK(comm_deliv), frac_children_health_facility,1)</f>
        <v>0.44500000000000001</v>
      </c>
      <c r="G9" s="92">
        <f>IF(ISBLANK(comm_deliv), frac_children_health_facility,1)</f>
        <v>0.44500000000000001</v>
      </c>
      <c r="H9" s="93">
        <v>0</v>
      </c>
      <c r="I9" s="93">
        <v>0</v>
      </c>
      <c r="J9" s="93">
        <v>0</v>
      </c>
      <c r="K9" s="93">
        <v>0</v>
      </c>
      <c r="L9" s="93">
        <v>0</v>
      </c>
      <c r="M9" s="93">
        <v>0</v>
      </c>
      <c r="N9" s="93">
        <v>0</v>
      </c>
      <c r="O9" s="93">
        <v>0</v>
      </c>
    </row>
    <row r="10" spans="1:15" ht="15" customHeight="1" x14ac:dyDescent="0.2">
      <c r="B10" s="11" t="s">
        <v>28</v>
      </c>
      <c r="C10" s="92">
        <v>0</v>
      </c>
      <c r="D10" s="92">
        <v>0</v>
      </c>
      <c r="E10" s="92">
        <v>1</v>
      </c>
      <c r="F10" s="92">
        <v>1</v>
      </c>
      <c r="G10" s="92">
        <v>1</v>
      </c>
      <c r="H10" s="93">
        <v>0</v>
      </c>
      <c r="I10" s="93">
        <v>0</v>
      </c>
      <c r="J10" s="93">
        <v>0</v>
      </c>
      <c r="K10" s="93">
        <v>0</v>
      </c>
      <c r="L10" s="93">
        <v>0</v>
      </c>
      <c r="M10" s="93">
        <v>0</v>
      </c>
      <c r="N10" s="93">
        <v>0</v>
      </c>
      <c r="O10" s="93">
        <v>0</v>
      </c>
    </row>
    <row r="11" spans="1:15" ht="15.75" customHeight="1" x14ac:dyDescent="0.2">
      <c r="B11" s="33" t="s">
        <v>85</v>
      </c>
      <c r="C11" s="92">
        <f>diarrhoea_1mo/26</f>
        <v>8.461538461538462E-2</v>
      </c>
      <c r="D11" s="92">
        <f>diarrhoea_1_5mo/26</f>
        <v>8.461538461538462E-2</v>
      </c>
      <c r="E11" s="92">
        <f>diarrhoea_6_11mo/26</f>
        <v>8.461538461538462E-2</v>
      </c>
      <c r="F11" s="92">
        <f>diarrhoea_12_23mo/26</f>
        <v>8.461538461538462E-2</v>
      </c>
      <c r="G11" s="92">
        <f>diarrhoea_24_59mo/26</f>
        <v>8.461538461538462E-2</v>
      </c>
      <c r="H11" s="93">
        <v>0</v>
      </c>
      <c r="I11" s="93">
        <v>0</v>
      </c>
      <c r="J11" s="93">
        <v>0</v>
      </c>
      <c r="K11" s="93">
        <v>0</v>
      </c>
      <c r="L11" s="93">
        <v>0</v>
      </c>
      <c r="M11" s="93">
        <v>0</v>
      </c>
      <c r="N11" s="93">
        <v>0</v>
      </c>
      <c r="O11" s="93">
        <v>0</v>
      </c>
    </row>
    <row r="12" spans="1:15" ht="15.75" customHeight="1" x14ac:dyDescent="0.2">
      <c r="B12" s="11" t="s">
        <v>60</v>
      </c>
      <c r="C12" s="92">
        <v>0</v>
      </c>
      <c r="D12" s="92">
        <v>0</v>
      </c>
      <c r="E12" s="92">
        <v>1</v>
      </c>
      <c r="F12" s="92">
        <v>1</v>
      </c>
      <c r="G12" s="92">
        <v>1</v>
      </c>
      <c r="H12" s="93">
        <v>0</v>
      </c>
      <c r="I12" s="93">
        <v>0</v>
      </c>
      <c r="J12" s="93">
        <v>0</v>
      </c>
      <c r="K12" s="93">
        <v>0</v>
      </c>
      <c r="L12" s="93">
        <v>0</v>
      </c>
      <c r="M12" s="93">
        <v>0</v>
      </c>
      <c r="N12" s="93">
        <v>0</v>
      </c>
      <c r="O12" s="93">
        <v>0</v>
      </c>
    </row>
    <row r="13" spans="1:15" ht="15.75" customHeight="1" x14ac:dyDescent="0.2">
      <c r="B13" s="33"/>
    </row>
    <row r="14" spans="1:15" ht="15.75" customHeight="1" x14ac:dyDescent="0.2">
      <c r="A14" s="4" t="s">
        <v>32</v>
      </c>
      <c r="B14" s="33" t="s">
        <v>29</v>
      </c>
      <c r="C14" s="93">
        <v>0</v>
      </c>
      <c r="D14" s="93">
        <v>0</v>
      </c>
      <c r="E14" s="93">
        <v>0</v>
      </c>
      <c r="F14" s="93">
        <v>0</v>
      </c>
      <c r="G14" s="93">
        <v>0</v>
      </c>
      <c r="H14" s="92">
        <f>food_insecure</f>
        <v>0.39900000000000002</v>
      </c>
      <c r="I14" s="92">
        <f>food_insecure</f>
        <v>0.39900000000000002</v>
      </c>
      <c r="J14" s="92">
        <f>food_insecure</f>
        <v>0.39900000000000002</v>
      </c>
      <c r="K14" s="92">
        <f>food_insecure</f>
        <v>0.39900000000000002</v>
      </c>
      <c r="L14" s="93">
        <v>0</v>
      </c>
      <c r="M14" s="93">
        <v>0</v>
      </c>
      <c r="N14" s="93">
        <v>0</v>
      </c>
      <c r="O14" s="93">
        <v>0</v>
      </c>
    </row>
    <row r="15" spans="1:15" ht="15.75" customHeight="1" x14ac:dyDescent="0.2">
      <c r="A15" s="4"/>
      <c r="B15" s="11" t="s">
        <v>86</v>
      </c>
      <c r="C15" s="93">
        <v>0</v>
      </c>
      <c r="D15" s="93">
        <v>0</v>
      </c>
      <c r="E15" s="93">
        <v>0</v>
      </c>
      <c r="F15" s="93">
        <v>0</v>
      </c>
      <c r="G15" s="93">
        <v>0</v>
      </c>
      <c r="H15" s="92">
        <v>1</v>
      </c>
      <c r="I15" s="92">
        <v>1</v>
      </c>
      <c r="J15" s="92">
        <v>1</v>
      </c>
      <c r="K15" s="92">
        <v>1</v>
      </c>
      <c r="L15" s="93">
        <v>0</v>
      </c>
      <c r="M15" s="93">
        <v>0</v>
      </c>
      <c r="N15" s="93">
        <v>0</v>
      </c>
      <c r="O15" s="93">
        <v>0</v>
      </c>
    </row>
    <row r="16" spans="1:15" ht="15.75" customHeight="1" x14ac:dyDescent="0.2">
      <c r="A16" s="4"/>
      <c r="B16" s="11" t="s">
        <v>187</v>
      </c>
      <c r="C16" s="93">
        <v>0</v>
      </c>
      <c r="D16" s="93">
        <v>0</v>
      </c>
      <c r="E16" s="93">
        <v>0</v>
      </c>
      <c r="F16" s="93">
        <v>0</v>
      </c>
      <c r="G16" s="93">
        <v>0</v>
      </c>
      <c r="H16" s="92">
        <f xml:space="preserve"> 1</f>
        <v>1</v>
      </c>
      <c r="I16" s="92">
        <f xml:space="preserve"> 1</f>
        <v>1</v>
      </c>
      <c r="J16" s="92">
        <f xml:space="preserve"> 1</f>
        <v>1</v>
      </c>
      <c r="K16" s="92">
        <f xml:space="preserve"> 1</f>
        <v>1</v>
      </c>
      <c r="L16" s="93">
        <v>0</v>
      </c>
      <c r="M16" s="93">
        <v>0</v>
      </c>
      <c r="N16" s="93">
        <v>0</v>
      </c>
      <c r="O16" s="93">
        <v>0</v>
      </c>
    </row>
    <row r="17" spans="1:15" ht="15.75" customHeight="1" x14ac:dyDescent="0.2">
      <c r="A17" s="4"/>
      <c r="B17" s="11" t="s">
        <v>209</v>
      </c>
      <c r="C17" s="93">
        <v>0</v>
      </c>
      <c r="D17" s="93">
        <v>0</v>
      </c>
      <c r="E17" s="93">
        <v>0</v>
      </c>
      <c r="F17" s="93">
        <v>0</v>
      </c>
      <c r="G17" s="93">
        <v>0</v>
      </c>
      <c r="H17" s="92">
        <f>frac_PW_health_facility</f>
        <v>0.63</v>
      </c>
      <c r="I17" s="92">
        <f>frac_PW_health_facility</f>
        <v>0.63</v>
      </c>
      <c r="J17" s="92">
        <f>frac_PW_health_facility</f>
        <v>0.63</v>
      </c>
      <c r="K17" s="92">
        <f>frac_PW_health_facility</f>
        <v>0.63</v>
      </c>
      <c r="L17" s="93">
        <v>0</v>
      </c>
      <c r="M17" s="93">
        <v>0</v>
      </c>
      <c r="N17" s="93">
        <v>0</v>
      </c>
      <c r="O17" s="93">
        <v>0</v>
      </c>
    </row>
    <row r="18" spans="1:15" ht="15" customHeight="1" x14ac:dyDescent="0.2">
      <c r="B18" s="33" t="s">
        <v>57</v>
      </c>
      <c r="C18" s="93">
        <v>0</v>
      </c>
      <c r="D18" s="93">
        <v>0</v>
      </c>
      <c r="E18" s="93">
        <v>0</v>
      </c>
      <c r="F18" s="93">
        <v>0</v>
      </c>
      <c r="G18" s="93">
        <v>0</v>
      </c>
      <c r="H18" s="92">
        <f>frac_malaria_risk</f>
        <v>1</v>
      </c>
      <c r="I18" s="92">
        <f>frac_malaria_risk</f>
        <v>1</v>
      </c>
      <c r="J18" s="92">
        <f>frac_malaria_risk</f>
        <v>1</v>
      </c>
      <c r="K18" s="92">
        <f>frac_malaria_risk</f>
        <v>1</v>
      </c>
      <c r="L18" s="93">
        <v>0</v>
      </c>
      <c r="M18" s="93">
        <v>0</v>
      </c>
      <c r="N18" s="93">
        <v>0</v>
      </c>
      <c r="O18" s="93">
        <v>0</v>
      </c>
    </row>
    <row r="19" spans="1:15" ht="15.75" customHeight="1" x14ac:dyDescent="0.2">
      <c r="B19" s="11" t="s">
        <v>88</v>
      </c>
      <c r="C19" s="93">
        <v>0</v>
      </c>
      <c r="D19" s="93">
        <v>0</v>
      </c>
      <c r="E19" s="93">
        <v>0</v>
      </c>
      <c r="F19" s="93">
        <v>0</v>
      </c>
      <c r="G19" s="93">
        <v>0</v>
      </c>
      <c r="H19" s="92">
        <v>1</v>
      </c>
      <c r="I19" s="92">
        <v>1</v>
      </c>
      <c r="J19" s="92">
        <v>1</v>
      </c>
      <c r="K19" s="92">
        <v>1</v>
      </c>
      <c r="L19" s="93">
        <v>0</v>
      </c>
      <c r="M19" s="93">
        <v>0</v>
      </c>
      <c r="N19" s="93">
        <v>0</v>
      </c>
      <c r="O19" s="93">
        <v>0</v>
      </c>
    </row>
    <row r="20" spans="1:15" ht="15.75" customHeight="1" x14ac:dyDescent="0.2">
      <c r="B20" s="11" t="s">
        <v>87</v>
      </c>
      <c r="C20" s="93">
        <v>0</v>
      </c>
      <c r="D20" s="93">
        <v>0</v>
      </c>
      <c r="E20" s="93">
        <v>0</v>
      </c>
      <c r="F20" s="93">
        <v>0</v>
      </c>
      <c r="G20" s="93">
        <v>0</v>
      </c>
      <c r="H20" s="92">
        <v>1</v>
      </c>
      <c r="I20" s="92">
        <v>1</v>
      </c>
      <c r="J20" s="92">
        <v>1</v>
      </c>
      <c r="K20" s="92">
        <v>1</v>
      </c>
      <c r="L20" s="93">
        <v>0</v>
      </c>
      <c r="M20" s="93">
        <v>0</v>
      </c>
      <c r="N20" s="93">
        <v>0</v>
      </c>
      <c r="O20" s="93">
        <v>0</v>
      </c>
    </row>
    <row r="21" spans="1:15" ht="15.75" customHeight="1" x14ac:dyDescent="0.2">
      <c r="B21" s="33" t="s">
        <v>59</v>
      </c>
      <c r="C21" s="93">
        <v>0</v>
      </c>
      <c r="D21" s="93">
        <v>0</v>
      </c>
      <c r="E21" s="93">
        <v>0</v>
      </c>
      <c r="F21" s="93">
        <v>0</v>
      </c>
      <c r="G21" s="93">
        <v>0</v>
      </c>
      <c r="H21" s="92">
        <f>1</f>
        <v>1</v>
      </c>
      <c r="I21" s="92">
        <f>1</f>
        <v>1</v>
      </c>
      <c r="J21" s="92">
        <f>1</f>
        <v>1</v>
      </c>
      <c r="K21" s="92">
        <f>1</f>
        <v>1</v>
      </c>
      <c r="L21" s="93">
        <v>0</v>
      </c>
      <c r="M21" s="93">
        <v>0</v>
      </c>
      <c r="N21" s="93">
        <v>0</v>
      </c>
      <c r="O21" s="93">
        <v>0</v>
      </c>
    </row>
    <row r="22" spans="1:15" ht="15.75" customHeight="1" x14ac:dyDescent="0.2">
      <c r="B22" s="33"/>
    </row>
    <row r="23" spans="1:15" ht="15.75" customHeight="1" x14ac:dyDescent="0.2">
      <c r="A23" s="62" t="s">
        <v>37</v>
      </c>
      <c r="B23" s="63" t="s">
        <v>198</v>
      </c>
      <c r="C23" s="93">
        <v>0</v>
      </c>
      <c r="D23" s="93">
        <v>0</v>
      </c>
      <c r="E23" s="93">
        <v>0</v>
      </c>
      <c r="F23" s="93">
        <v>0</v>
      </c>
      <c r="G23" s="93">
        <v>0</v>
      </c>
      <c r="H23" s="93">
        <v>0</v>
      </c>
      <c r="I23" s="93">
        <v>0</v>
      </c>
      <c r="J23" s="93">
        <v>0</v>
      </c>
      <c r="K23" s="93">
        <v>0</v>
      </c>
      <c r="L23" s="92">
        <f>famplan_unmet_need</f>
        <v>0.29799999999999999</v>
      </c>
      <c r="M23" s="92">
        <f>famplan_unmet_need</f>
        <v>0.29799999999999999</v>
      </c>
      <c r="N23" s="92">
        <f>famplan_unmet_need</f>
        <v>0.29799999999999999</v>
      </c>
      <c r="O23" s="92">
        <f>famplan_unmet_need</f>
        <v>0.29799999999999999</v>
      </c>
    </row>
    <row r="24" spans="1:15" ht="15.75" customHeight="1" x14ac:dyDescent="0.2">
      <c r="B24" s="63" t="s">
        <v>188</v>
      </c>
      <c r="C24" s="93">
        <v>0</v>
      </c>
      <c r="D24" s="93">
        <v>0</v>
      </c>
      <c r="E24" s="93">
        <v>0</v>
      </c>
      <c r="F24" s="93">
        <v>0</v>
      </c>
      <c r="G24" s="93">
        <v>0</v>
      </c>
      <c r="H24" s="93">
        <v>0</v>
      </c>
      <c r="I24" s="93">
        <v>0</v>
      </c>
      <c r="J24" s="93">
        <v>0</v>
      </c>
      <c r="K24" s="93">
        <v>0</v>
      </c>
      <c r="L24" s="92">
        <f>(1-food_insecure)*(0.49)*(1-school_attendance) + food_insecure*(0.7)*(1-school_attendance)</f>
        <v>0.40188251600000002</v>
      </c>
      <c r="M24" s="92">
        <f>(1-food_insecure)*(0.49)+food_insecure*(0.7)</f>
        <v>0.57379000000000002</v>
      </c>
      <c r="N24" s="92">
        <f>(1-food_insecure)*(0.49)+food_insecure*(0.7)</f>
        <v>0.57379000000000002</v>
      </c>
      <c r="O24" s="92">
        <f>(1-food_insecure)*(0.49)+food_insecure*(0.7)</f>
        <v>0.57379000000000002</v>
      </c>
    </row>
    <row r="25" spans="1:15" ht="15.75" customHeight="1" x14ac:dyDescent="0.2">
      <c r="B25" s="63" t="s">
        <v>208</v>
      </c>
      <c r="C25" s="93">
        <v>0</v>
      </c>
      <c r="D25" s="93">
        <v>0</v>
      </c>
      <c r="E25" s="93">
        <v>0</v>
      </c>
      <c r="F25" s="93">
        <v>0</v>
      </c>
      <c r="G25" s="93">
        <v>0</v>
      </c>
      <c r="H25" s="93">
        <v>0</v>
      </c>
      <c r="I25" s="93">
        <v>0</v>
      </c>
      <c r="J25" s="93">
        <v>0</v>
      </c>
      <c r="K25" s="93">
        <v>0</v>
      </c>
      <c r="L25" s="92">
        <f>(1-food_insecure)*(0.21)*(1-school_attendance) + food_insecure*(0.3)*(1-school_attendance)</f>
        <v>0.172235364</v>
      </c>
      <c r="M25" s="92">
        <f>(1-food_insecure)*(0.21)+food_insecure*(0.3)</f>
        <v>0.24590999999999999</v>
      </c>
      <c r="N25" s="92">
        <f>(1-food_insecure)*(0.21)+food_insecure*(0.3)</f>
        <v>0.24590999999999999</v>
      </c>
      <c r="O25" s="92">
        <f>(1-food_insecure)*(0.21)+food_insecure*(0.3)</f>
        <v>0.24590999999999999</v>
      </c>
    </row>
    <row r="26" spans="1:15" ht="15.75" customHeight="1" x14ac:dyDescent="0.2">
      <c r="B26" s="63" t="s">
        <v>189</v>
      </c>
      <c r="C26" s="93">
        <v>0</v>
      </c>
      <c r="D26" s="93">
        <v>0</v>
      </c>
      <c r="E26" s="93">
        <v>0</v>
      </c>
      <c r="F26" s="93">
        <v>0</v>
      </c>
      <c r="G26" s="93">
        <v>0</v>
      </c>
      <c r="H26" s="93">
        <v>0</v>
      </c>
      <c r="I26" s="93">
        <v>0</v>
      </c>
      <c r="J26" s="93">
        <v>0</v>
      </c>
      <c r="K26" s="93">
        <v>0</v>
      </c>
      <c r="L26" s="92">
        <f>(1-food_insecure)*(0.3)*(1-school_attendance)</f>
        <v>0.12628212</v>
      </c>
      <c r="M26" s="92">
        <f>(1-food_insecure)*(0.3)</f>
        <v>0.18029999999999999</v>
      </c>
      <c r="N26" s="92">
        <f>(1-food_insecure)*(0.3)</f>
        <v>0.18029999999999999</v>
      </c>
      <c r="O26" s="92">
        <f>(1-food_insecure)*(0.3)</f>
        <v>0.18029999999999999</v>
      </c>
    </row>
    <row r="27" spans="1:15" ht="15.75" customHeight="1" x14ac:dyDescent="0.2">
      <c r="B27" s="63" t="s">
        <v>190</v>
      </c>
      <c r="C27" s="93">
        <v>0</v>
      </c>
      <c r="D27" s="93">
        <v>0</v>
      </c>
      <c r="E27" s="93">
        <v>0</v>
      </c>
      <c r="F27" s="93">
        <v>0</v>
      </c>
      <c r="G27" s="93">
        <v>0</v>
      </c>
      <c r="H27" s="93">
        <v>0</v>
      </c>
      <c r="I27" s="93">
        <v>0</v>
      </c>
      <c r="J27" s="93">
        <v>0</v>
      </c>
      <c r="K27" s="93">
        <v>0</v>
      </c>
      <c r="L27" s="92">
        <f>(1-food_insecure)*1*school_attendance + food_insecure*1*school_attendance</f>
        <v>0.29959999999999998</v>
      </c>
      <c r="M27" s="92">
        <v>0</v>
      </c>
      <c r="N27" s="92">
        <v>0</v>
      </c>
      <c r="O27" s="92">
        <v>0</v>
      </c>
    </row>
    <row r="28" spans="1:15" ht="15.75" customHeight="1" x14ac:dyDescent="0.2">
      <c r="B28" s="11"/>
      <c r="C28" s="2"/>
      <c r="D28" s="2"/>
      <c r="E28" s="10"/>
      <c r="F28" s="10"/>
      <c r="G28" s="10"/>
      <c r="H28" s="10"/>
      <c r="I28" s="10"/>
    </row>
    <row r="29" spans="1:15" ht="15.75" customHeight="1" x14ac:dyDescent="0.2">
      <c r="A29" s="4" t="s">
        <v>35</v>
      </c>
      <c r="B29" s="11" t="s">
        <v>63</v>
      </c>
      <c r="C29" s="92">
        <v>0</v>
      </c>
      <c r="D29" s="92">
        <v>0</v>
      </c>
      <c r="E29" s="92">
        <f t="shared" ref="E29:O29" si="0">frac_maize</f>
        <v>0.1</v>
      </c>
      <c r="F29" s="92">
        <f t="shared" si="0"/>
        <v>0.1</v>
      </c>
      <c r="G29" s="92">
        <f t="shared" si="0"/>
        <v>0.1</v>
      </c>
      <c r="H29" s="92">
        <f t="shared" si="0"/>
        <v>0.1</v>
      </c>
      <c r="I29" s="92">
        <f t="shared" si="0"/>
        <v>0.1</v>
      </c>
      <c r="J29" s="92">
        <f t="shared" si="0"/>
        <v>0.1</v>
      </c>
      <c r="K29" s="92">
        <f t="shared" si="0"/>
        <v>0.1</v>
      </c>
      <c r="L29" s="92">
        <f t="shared" si="0"/>
        <v>0.1</v>
      </c>
      <c r="M29" s="92">
        <f t="shared" si="0"/>
        <v>0.1</v>
      </c>
      <c r="N29" s="92">
        <f t="shared" si="0"/>
        <v>0.1</v>
      </c>
      <c r="O29" s="92">
        <f t="shared" si="0"/>
        <v>0.1</v>
      </c>
    </row>
    <row r="30" spans="1:15" ht="15.75" customHeight="1" x14ac:dyDescent="0.2">
      <c r="B30" s="11" t="s">
        <v>64</v>
      </c>
      <c r="C30" s="92">
        <v>0</v>
      </c>
      <c r="D30" s="92">
        <v>0</v>
      </c>
      <c r="E30" s="92">
        <f t="shared" ref="E30:O30" si="1">frac_rice</f>
        <v>0.8</v>
      </c>
      <c r="F30" s="92">
        <f t="shared" si="1"/>
        <v>0.8</v>
      </c>
      <c r="G30" s="92">
        <f t="shared" si="1"/>
        <v>0.8</v>
      </c>
      <c r="H30" s="92">
        <f t="shared" si="1"/>
        <v>0.8</v>
      </c>
      <c r="I30" s="92">
        <f t="shared" si="1"/>
        <v>0.8</v>
      </c>
      <c r="J30" s="92">
        <f t="shared" si="1"/>
        <v>0.8</v>
      </c>
      <c r="K30" s="92">
        <f t="shared" si="1"/>
        <v>0.8</v>
      </c>
      <c r="L30" s="92">
        <f t="shared" si="1"/>
        <v>0.8</v>
      </c>
      <c r="M30" s="92">
        <f t="shared" si="1"/>
        <v>0.8</v>
      </c>
      <c r="N30" s="92">
        <f t="shared" si="1"/>
        <v>0.8</v>
      </c>
      <c r="O30" s="92">
        <f t="shared" si="1"/>
        <v>0.8</v>
      </c>
    </row>
    <row r="31" spans="1:15" ht="15.75" customHeight="1" x14ac:dyDescent="0.2">
      <c r="B31" s="11" t="s">
        <v>62</v>
      </c>
      <c r="C31" s="92">
        <v>0</v>
      </c>
      <c r="D31" s="92">
        <v>0</v>
      </c>
      <c r="E31" s="92">
        <f>frac_wheat</f>
        <v>0.1</v>
      </c>
      <c r="F31" s="92">
        <f t="shared" ref="F31:O31" si="2">frac_wheat</f>
        <v>0.1</v>
      </c>
      <c r="G31" s="92">
        <f t="shared" si="2"/>
        <v>0.1</v>
      </c>
      <c r="H31" s="92">
        <f t="shared" si="2"/>
        <v>0.1</v>
      </c>
      <c r="I31" s="92">
        <f t="shared" si="2"/>
        <v>0.1</v>
      </c>
      <c r="J31" s="92">
        <f t="shared" si="2"/>
        <v>0.1</v>
      </c>
      <c r="K31" s="92">
        <f t="shared" si="2"/>
        <v>0.1</v>
      </c>
      <c r="L31" s="92">
        <f t="shared" si="2"/>
        <v>0.1</v>
      </c>
      <c r="M31" s="92">
        <f t="shared" si="2"/>
        <v>0.1</v>
      </c>
      <c r="N31" s="92">
        <f t="shared" si="2"/>
        <v>0.1</v>
      </c>
      <c r="O31" s="92">
        <f t="shared" si="2"/>
        <v>0.1</v>
      </c>
    </row>
    <row r="32" spans="1:15" ht="15.75" customHeight="1" x14ac:dyDescent="0.2">
      <c r="B32" s="11" t="s">
        <v>47</v>
      </c>
      <c r="C32" s="92">
        <v>0</v>
      </c>
      <c r="D32" s="92">
        <v>0</v>
      </c>
      <c r="E32" s="92">
        <v>1</v>
      </c>
      <c r="F32" s="92">
        <v>1</v>
      </c>
      <c r="G32" s="92">
        <v>1</v>
      </c>
      <c r="H32" s="92">
        <v>1</v>
      </c>
      <c r="I32" s="92">
        <v>1</v>
      </c>
      <c r="J32" s="92">
        <v>1</v>
      </c>
      <c r="K32" s="92">
        <v>1</v>
      </c>
      <c r="L32" s="92">
        <v>1</v>
      </c>
      <c r="M32" s="92">
        <v>1</v>
      </c>
      <c r="N32" s="92">
        <v>1</v>
      </c>
      <c r="O32" s="92">
        <v>1</v>
      </c>
    </row>
    <row r="33" spans="1:15" ht="15.75" customHeight="1" x14ac:dyDescent="0.2">
      <c r="B33" s="11" t="s">
        <v>34</v>
      </c>
      <c r="C33" s="92">
        <f t="shared" ref="C33:O33" si="3">frac_malaria_risk</f>
        <v>1</v>
      </c>
      <c r="D33" s="92">
        <f t="shared" si="3"/>
        <v>1</v>
      </c>
      <c r="E33" s="92">
        <f t="shared" si="3"/>
        <v>1</v>
      </c>
      <c r="F33" s="92">
        <f t="shared" si="3"/>
        <v>1</v>
      </c>
      <c r="G33" s="92">
        <f t="shared" si="3"/>
        <v>1</v>
      </c>
      <c r="H33" s="92">
        <f t="shared" si="3"/>
        <v>1</v>
      </c>
      <c r="I33" s="92">
        <f t="shared" si="3"/>
        <v>1</v>
      </c>
      <c r="J33" s="92">
        <f t="shared" si="3"/>
        <v>1</v>
      </c>
      <c r="K33" s="92">
        <f t="shared" si="3"/>
        <v>1</v>
      </c>
      <c r="L33" s="92">
        <f t="shared" si="3"/>
        <v>1</v>
      </c>
      <c r="M33" s="92">
        <f t="shared" si="3"/>
        <v>1</v>
      </c>
      <c r="N33" s="92">
        <f t="shared" si="3"/>
        <v>1</v>
      </c>
      <c r="O33" s="92">
        <f t="shared" si="3"/>
        <v>1</v>
      </c>
    </row>
    <row r="34" spans="1:15" ht="15.75" customHeight="1" x14ac:dyDescent="0.2">
      <c r="B34" s="33" t="s">
        <v>83</v>
      </c>
      <c r="C34" s="92">
        <v>1</v>
      </c>
      <c r="D34" s="92">
        <v>1</v>
      </c>
      <c r="E34" s="92">
        <v>1</v>
      </c>
      <c r="F34" s="92">
        <v>1</v>
      </c>
      <c r="G34" s="92">
        <v>1</v>
      </c>
      <c r="H34" s="92">
        <v>1</v>
      </c>
      <c r="I34" s="92">
        <v>1</v>
      </c>
      <c r="J34" s="92">
        <v>1</v>
      </c>
      <c r="K34" s="92">
        <v>1</v>
      </c>
      <c r="L34" s="92">
        <v>1</v>
      </c>
      <c r="M34" s="92">
        <v>1</v>
      </c>
      <c r="N34" s="92">
        <v>1</v>
      </c>
      <c r="O34" s="92">
        <v>1</v>
      </c>
    </row>
    <row r="35" spans="1:15" ht="15.75" customHeight="1" x14ac:dyDescent="0.2">
      <c r="A35" s="5"/>
      <c r="B35" s="33" t="s">
        <v>82</v>
      </c>
      <c r="C35" s="92">
        <v>1</v>
      </c>
      <c r="D35" s="92">
        <v>1</v>
      </c>
      <c r="E35" s="92">
        <v>1</v>
      </c>
      <c r="F35" s="92">
        <v>1</v>
      </c>
      <c r="G35" s="92">
        <v>1</v>
      </c>
      <c r="H35" s="92">
        <v>1</v>
      </c>
      <c r="I35" s="92">
        <v>1</v>
      </c>
      <c r="J35" s="92">
        <v>1</v>
      </c>
      <c r="K35" s="92">
        <v>1</v>
      </c>
      <c r="L35" s="92">
        <v>1</v>
      </c>
      <c r="M35" s="92">
        <v>1</v>
      </c>
      <c r="N35" s="92">
        <v>1</v>
      </c>
      <c r="O35" s="92">
        <v>1</v>
      </c>
    </row>
    <row r="36" spans="1:15" s="5" customFormat="1" ht="15.75" customHeight="1" x14ac:dyDescent="0.2">
      <c r="B36" s="33" t="s">
        <v>81</v>
      </c>
      <c r="C36" s="92">
        <v>1</v>
      </c>
      <c r="D36" s="92">
        <v>1</v>
      </c>
      <c r="E36" s="92">
        <v>1</v>
      </c>
      <c r="F36" s="92">
        <v>1</v>
      </c>
      <c r="G36" s="92">
        <v>1</v>
      </c>
      <c r="H36" s="92">
        <v>1</v>
      </c>
      <c r="I36" s="92">
        <v>1</v>
      </c>
      <c r="J36" s="92">
        <v>1</v>
      </c>
      <c r="K36" s="92">
        <v>1</v>
      </c>
      <c r="L36" s="92">
        <v>1</v>
      </c>
      <c r="M36" s="92">
        <v>1</v>
      </c>
      <c r="N36" s="92">
        <v>1</v>
      </c>
      <c r="O36" s="92">
        <v>1</v>
      </c>
    </row>
    <row r="37" spans="1:15" s="5" customFormat="1" ht="15.75" customHeight="1" x14ac:dyDescent="0.2">
      <c r="B37" s="33" t="s">
        <v>79</v>
      </c>
      <c r="C37" s="92">
        <v>1</v>
      </c>
      <c r="D37" s="92">
        <v>1</v>
      </c>
      <c r="E37" s="92">
        <v>1</v>
      </c>
      <c r="F37" s="92">
        <v>1</v>
      </c>
      <c r="G37" s="92">
        <v>1</v>
      </c>
      <c r="H37" s="92">
        <v>1</v>
      </c>
      <c r="I37" s="92">
        <v>1</v>
      </c>
      <c r="J37" s="92">
        <v>1</v>
      </c>
      <c r="K37" s="92">
        <v>1</v>
      </c>
      <c r="L37" s="92">
        <v>1</v>
      </c>
      <c r="M37" s="92">
        <v>1</v>
      </c>
      <c r="N37" s="92">
        <v>1</v>
      </c>
      <c r="O37" s="92">
        <v>1</v>
      </c>
    </row>
    <row r="38" spans="1:15" s="5" customFormat="1" ht="15.75" customHeight="1" x14ac:dyDescent="0.2">
      <c r="B38" s="33" t="s">
        <v>80</v>
      </c>
      <c r="C38" s="92">
        <v>1</v>
      </c>
      <c r="D38" s="92">
        <v>1</v>
      </c>
      <c r="E38" s="92">
        <v>1</v>
      </c>
      <c r="F38" s="92">
        <v>1</v>
      </c>
      <c r="G38" s="92">
        <v>1</v>
      </c>
      <c r="H38" s="92">
        <v>1</v>
      </c>
      <c r="I38" s="92">
        <v>1</v>
      </c>
      <c r="J38" s="92">
        <v>1</v>
      </c>
      <c r="K38" s="92">
        <v>1</v>
      </c>
      <c r="L38" s="92">
        <v>1</v>
      </c>
      <c r="M38" s="92">
        <v>1</v>
      </c>
      <c r="N38" s="92">
        <v>1</v>
      </c>
      <c r="O38" s="92">
        <v>1</v>
      </c>
    </row>
    <row r="39" spans="1:15" ht="15.75" customHeight="1" x14ac:dyDescent="0.2">
      <c r="B39" s="33"/>
    </row>
  </sheetData>
  <sheetProtection algorithmName="SHA-512" hashValue="8AA2I9UZPCvjoGOxL0MMyqqXoHDNS7n4JtfrsQRho74JNJJKUigxuy0/aEjLs4m9INQV0OZqejhY0qqpkSRx4A==" saltValue="BKXFXqwFrNK8M/n7gCZbMQ==" spinCount="100000" sheet="1" scenarios="1" selectLockedCells="1"/>
  <sortState ref="B14:O21">
    <sortCondition ref="B14:B21"/>
  </sortState>
  <pageMargins left="0.75" right="0.75" top="1" bottom="1" header="0.5" footer="0.5"/>
  <pageSetup paperSize="9" orientation="portrait" horizontalDpi="4294967292" verticalDpi="4294967292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defaultColWidth="11.42578125" defaultRowHeight="12.75" x14ac:dyDescent="0.2"/>
  <sheetData>
    <row r="1" spans="1:1" x14ac:dyDescent="0.2">
      <c r="A1" s="12" t="s">
        <v>202</v>
      </c>
    </row>
    <row r="2" spans="1:1" x14ac:dyDescent="0.2">
      <c r="A2" s="12" t="s">
        <v>203</v>
      </c>
    </row>
    <row r="3" spans="1:1" x14ac:dyDescent="0.2">
      <c r="A3" s="12" t="s">
        <v>204</v>
      </c>
    </row>
    <row r="4" spans="1:1" x14ac:dyDescent="0.2">
      <c r="A4" s="12" t="s">
        <v>205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 tint="-0.249977111117893"/>
  </sheetPr>
  <dimension ref="A1:E11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35" customWidth="1"/>
    <col min="2" max="2" width="12.42578125" style="35" customWidth="1"/>
    <col min="3" max="4" width="11.42578125" style="35"/>
    <col min="5" max="5" width="17.42578125" style="35" customWidth="1"/>
    <col min="6" max="16384" width="11.42578125" style="35"/>
  </cols>
  <sheetData>
    <row r="1" spans="1:5" x14ac:dyDescent="0.2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4.25" x14ac:dyDescent="0.2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4.25" x14ac:dyDescent="0.2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4.25" x14ac:dyDescent="0.2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4.25" x14ac:dyDescent="0.2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4.25" x14ac:dyDescent="0.2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4.25" x14ac:dyDescent="0.2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4.25" x14ac:dyDescent="0.2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4.25" x14ac:dyDescent="0.2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4.25" x14ac:dyDescent="0.2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">
      <c r="C11" s="36"/>
    </row>
  </sheetData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P41"/>
  <sheetViews>
    <sheetView topLeftCell="B9" workbookViewId="0">
      <selection activeCell="F8" sqref="F8"/>
    </sheetView>
  </sheetViews>
  <sheetFormatPr defaultColWidth="16.140625" defaultRowHeight="15.75" customHeight="1" x14ac:dyDescent="0.25"/>
  <cols>
    <col min="1" max="1" width="22.28515625" style="57" bestFit="1" customWidth="1"/>
    <col min="2" max="2" width="58.85546875" style="57" bestFit="1" customWidth="1"/>
    <col min="3" max="3" width="9.42578125" style="57" bestFit="1" customWidth="1"/>
    <col min="4" max="4" width="11.140625" style="57" bestFit="1" customWidth="1"/>
    <col min="5" max="5" width="12" style="57" bestFit="1" customWidth="1"/>
    <col min="6" max="7" width="13.140625" style="57" bestFit="1" customWidth="1"/>
    <col min="8" max="11" width="15.28515625" style="57" bestFit="1" customWidth="1"/>
    <col min="12" max="15" width="16.85546875" style="57" bestFit="1" customWidth="1"/>
    <col min="16" max="16384" width="16.140625" style="57"/>
  </cols>
  <sheetData>
    <row r="1" spans="1:15" ht="15.75" customHeight="1" x14ac:dyDescent="0.25">
      <c r="A1" s="59" t="s">
        <v>33</v>
      </c>
      <c r="B1" s="94" t="s">
        <v>69</v>
      </c>
      <c r="C1" s="59" t="s">
        <v>1</v>
      </c>
      <c r="D1" s="59" t="s">
        <v>2</v>
      </c>
      <c r="E1" s="59" t="s">
        <v>3</v>
      </c>
      <c r="F1" s="59" t="s">
        <v>4</v>
      </c>
      <c r="G1" s="59" t="s">
        <v>5</v>
      </c>
      <c r="H1" s="59" t="s">
        <v>53</v>
      </c>
      <c r="I1" s="59" t="s">
        <v>54</v>
      </c>
      <c r="J1" s="59" t="s">
        <v>55</v>
      </c>
      <c r="K1" s="59" t="s">
        <v>56</v>
      </c>
      <c r="L1" s="59" t="s">
        <v>49</v>
      </c>
      <c r="M1" s="59" t="s">
        <v>50</v>
      </c>
      <c r="N1" s="59" t="s">
        <v>51</v>
      </c>
      <c r="O1" s="59" t="s">
        <v>52</v>
      </c>
    </row>
    <row r="2" spans="1:15" ht="15.75" customHeight="1" x14ac:dyDescent="0.25">
      <c r="A2" s="59" t="s">
        <v>31</v>
      </c>
      <c r="B2" s="52" t="s">
        <v>61</v>
      </c>
      <c r="C2" s="138">
        <v>0</v>
      </c>
      <c r="D2" s="138">
        <v>1</v>
      </c>
      <c r="E2" s="138">
        <v>1</v>
      </c>
      <c r="F2" s="138">
        <v>1</v>
      </c>
      <c r="G2" s="138">
        <v>1</v>
      </c>
      <c r="H2" s="138">
        <v>0</v>
      </c>
      <c r="I2" s="138">
        <v>0</v>
      </c>
      <c r="J2" s="138">
        <v>0</v>
      </c>
      <c r="K2" s="138">
        <v>0</v>
      </c>
      <c r="L2" s="138">
        <v>0</v>
      </c>
      <c r="M2" s="138">
        <v>0</v>
      </c>
      <c r="N2" s="138">
        <v>0</v>
      </c>
      <c r="O2" s="138">
        <v>0</v>
      </c>
    </row>
    <row r="3" spans="1:15" ht="15.75" customHeight="1" x14ac:dyDescent="0.25">
      <c r="B3" s="52" t="s">
        <v>149</v>
      </c>
      <c r="C3" s="138">
        <v>1</v>
      </c>
      <c r="D3" s="138">
        <v>1</v>
      </c>
      <c r="E3" s="138">
        <v>0</v>
      </c>
      <c r="F3" s="138">
        <v>0</v>
      </c>
      <c r="G3" s="138">
        <v>0</v>
      </c>
      <c r="H3" s="138">
        <v>0</v>
      </c>
      <c r="I3" s="138">
        <v>0</v>
      </c>
      <c r="J3" s="138">
        <v>0</v>
      </c>
      <c r="K3" s="138">
        <v>0</v>
      </c>
      <c r="L3" s="138">
        <v>0</v>
      </c>
      <c r="M3" s="138">
        <v>0</v>
      </c>
      <c r="N3" s="138">
        <v>0</v>
      </c>
      <c r="O3" s="138">
        <v>0</v>
      </c>
    </row>
    <row r="4" spans="1:15" ht="15.75" customHeight="1" x14ac:dyDescent="0.25">
      <c r="B4" s="52" t="s">
        <v>173</v>
      </c>
      <c r="C4" s="138">
        <v>1</v>
      </c>
      <c r="D4" s="138">
        <v>1</v>
      </c>
      <c r="E4" s="138">
        <v>1</v>
      </c>
      <c r="F4" s="138">
        <v>1</v>
      </c>
      <c r="G4" s="138">
        <v>1</v>
      </c>
      <c r="H4" s="138">
        <v>0</v>
      </c>
      <c r="I4" s="138">
        <v>0</v>
      </c>
      <c r="J4" s="138">
        <v>0</v>
      </c>
      <c r="K4" s="138">
        <v>0</v>
      </c>
      <c r="L4" s="138">
        <v>0</v>
      </c>
      <c r="M4" s="138">
        <v>0</v>
      </c>
      <c r="N4" s="138">
        <v>0</v>
      </c>
      <c r="O4" s="138">
        <v>0</v>
      </c>
    </row>
    <row r="5" spans="1:15" ht="15.75" customHeight="1" x14ac:dyDescent="0.25">
      <c r="B5" s="52" t="s">
        <v>199</v>
      </c>
      <c r="C5" s="138">
        <v>1</v>
      </c>
      <c r="D5" s="138">
        <v>1</v>
      </c>
      <c r="E5" s="138">
        <v>1</v>
      </c>
      <c r="F5" s="138">
        <v>1</v>
      </c>
      <c r="G5" s="138">
        <v>1</v>
      </c>
      <c r="H5" s="138">
        <v>0</v>
      </c>
      <c r="I5" s="138">
        <v>0</v>
      </c>
      <c r="J5" s="138">
        <v>0</v>
      </c>
      <c r="K5" s="138">
        <v>0</v>
      </c>
      <c r="L5" s="138">
        <v>0</v>
      </c>
      <c r="M5" s="138">
        <v>0</v>
      </c>
      <c r="N5" s="138">
        <v>0</v>
      </c>
      <c r="O5" s="138">
        <v>0</v>
      </c>
    </row>
    <row r="6" spans="1:15" ht="15.75" customHeight="1" x14ac:dyDescent="0.25">
      <c r="B6" s="52" t="s">
        <v>200</v>
      </c>
      <c r="C6" s="138">
        <v>1</v>
      </c>
      <c r="D6" s="138">
        <v>1</v>
      </c>
      <c r="E6" s="138">
        <v>1</v>
      </c>
      <c r="F6" s="138">
        <v>1</v>
      </c>
      <c r="G6" s="138">
        <v>1</v>
      </c>
      <c r="H6" s="138">
        <v>0</v>
      </c>
      <c r="I6" s="138">
        <v>0</v>
      </c>
      <c r="J6" s="138">
        <v>0</v>
      </c>
      <c r="K6" s="138">
        <v>0</v>
      </c>
      <c r="L6" s="138">
        <v>0</v>
      </c>
      <c r="M6" s="138">
        <v>0</v>
      </c>
      <c r="N6" s="138">
        <v>0</v>
      </c>
      <c r="O6" s="138">
        <v>0</v>
      </c>
    </row>
    <row r="7" spans="1:15" ht="15.75" customHeight="1" x14ac:dyDescent="0.25">
      <c r="B7" s="52" t="s">
        <v>196</v>
      </c>
      <c r="C7" s="138">
        <v>1</v>
      </c>
      <c r="D7" s="138">
        <v>1</v>
      </c>
      <c r="E7" s="138">
        <v>0</v>
      </c>
      <c r="F7" s="138">
        <v>0</v>
      </c>
      <c r="G7" s="138">
        <v>0</v>
      </c>
      <c r="H7" s="138">
        <v>0</v>
      </c>
      <c r="I7" s="138">
        <v>0</v>
      </c>
      <c r="J7" s="138">
        <v>0</v>
      </c>
      <c r="K7" s="138">
        <v>0</v>
      </c>
      <c r="L7" s="138">
        <v>0</v>
      </c>
      <c r="M7" s="138">
        <v>0</v>
      </c>
      <c r="N7" s="138">
        <v>0</v>
      </c>
      <c r="O7" s="138">
        <v>0</v>
      </c>
    </row>
    <row r="8" spans="1:15" ht="15.75" customHeight="1" x14ac:dyDescent="0.25">
      <c r="B8" s="52" t="s">
        <v>136</v>
      </c>
      <c r="C8" s="138">
        <v>0</v>
      </c>
      <c r="D8" s="138">
        <v>0</v>
      </c>
      <c r="E8" s="138">
        <v>1</v>
      </c>
      <c r="F8" s="138">
        <v>1</v>
      </c>
      <c r="G8" s="138">
        <v>0</v>
      </c>
      <c r="H8" s="138">
        <v>0</v>
      </c>
      <c r="I8" s="138">
        <v>0</v>
      </c>
      <c r="J8" s="138">
        <v>0</v>
      </c>
      <c r="K8" s="138">
        <v>0</v>
      </c>
      <c r="L8" s="138">
        <v>0</v>
      </c>
      <c r="M8" s="138">
        <v>0</v>
      </c>
      <c r="N8" s="138">
        <v>0</v>
      </c>
      <c r="O8" s="138">
        <v>0</v>
      </c>
    </row>
    <row r="9" spans="1:15" ht="15.75" customHeight="1" x14ac:dyDescent="0.25">
      <c r="B9" s="52" t="s">
        <v>137</v>
      </c>
      <c r="C9" s="138">
        <v>0</v>
      </c>
      <c r="D9" s="138">
        <v>0</v>
      </c>
      <c r="E9" s="138">
        <v>1</v>
      </c>
      <c r="F9" s="138">
        <v>1</v>
      </c>
      <c r="G9" s="138">
        <v>1</v>
      </c>
      <c r="H9" s="138">
        <v>0</v>
      </c>
      <c r="I9" s="138">
        <v>0</v>
      </c>
      <c r="J9" s="138">
        <v>0</v>
      </c>
      <c r="K9" s="138">
        <v>0</v>
      </c>
      <c r="L9" s="138">
        <v>0</v>
      </c>
      <c r="M9" s="138">
        <v>0</v>
      </c>
      <c r="N9" s="138">
        <v>0</v>
      </c>
      <c r="O9" s="138">
        <v>0</v>
      </c>
    </row>
    <row r="10" spans="1:15" ht="15.75" customHeight="1" x14ac:dyDescent="0.25">
      <c r="B10" s="52" t="s">
        <v>84</v>
      </c>
      <c r="C10" s="138">
        <v>1</v>
      </c>
      <c r="D10" s="138">
        <v>1</v>
      </c>
      <c r="E10" s="138">
        <v>1</v>
      </c>
      <c r="F10" s="138">
        <v>1</v>
      </c>
      <c r="G10" s="138">
        <v>1</v>
      </c>
      <c r="H10" s="138">
        <v>0</v>
      </c>
      <c r="I10" s="138">
        <v>0</v>
      </c>
      <c r="J10" s="138">
        <v>0</v>
      </c>
      <c r="K10" s="138">
        <v>0</v>
      </c>
      <c r="L10" s="138">
        <v>0</v>
      </c>
      <c r="M10" s="138">
        <v>0</v>
      </c>
      <c r="N10" s="138">
        <v>0</v>
      </c>
      <c r="O10" s="138">
        <v>0</v>
      </c>
    </row>
    <row r="11" spans="1:15" ht="15.75" customHeight="1" x14ac:dyDescent="0.25">
      <c r="B11" s="52" t="s">
        <v>58</v>
      </c>
      <c r="C11" s="138">
        <v>0</v>
      </c>
      <c r="D11" s="138">
        <v>0</v>
      </c>
      <c r="E11" s="138">
        <v>1</v>
      </c>
      <c r="F11" s="138">
        <v>1</v>
      </c>
      <c r="G11" s="138">
        <v>0</v>
      </c>
      <c r="H11" s="138">
        <v>0</v>
      </c>
      <c r="I11" s="138">
        <v>0</v>
      </c>
      <c r="J11" s="138">
        <v>0</v>
      </c>
      <c r="K11" s="138">
        <v>0</v>
      </c>
      <c r="L11" s="138">
        <v>0</v>
      </c>
      <c r="M11" s="138">
        <v>0</v>
      </c>
      <c r="N11" s="138">
        <v>0</v>
      </c>
      <c r="O11" s="138">
        <v>0</v>
      </c>
    </row>
    <row r="12" spans="1:15" ht="15.75" customHeight="1" x14ac:dyDescent="0.25">
      <c r="B12" s="52" t="s">
        <v>67</v>
      </c>
      <c r="C12" s="138">
        <v>0</v>
      </c>
      <c r="D12" s="138">
        <v>1</v>
      </c>
      <c r="E12" s="138">
        <v>1</v>
      </c>
      <c r="F12" s="138">
        <v>1</v>
      </c>
      <c r="G12" s="138">
        <v>1</v>
      </c>
      <c r="H12" s="138">
        <v>0</v>
      </c>
      <c r="I12" s="138">
        <v>0</v>
      </c>
      <c r="J12" s="138">
        <v>0</v>
      </c>
      <c r="K12" s="138">
        <v>0</v>
      </c>
      <c r="L12" s="138">
        <v>0</v>
      </c>
      <c r="M12" s="138">
        <v>0</v>
      </c>
      <c r="N12" s="138">
        <v>0</v>
      </c>
      <c r="O12" s="138">
        <v>0</v>
      </c>
    </row>
    <row r="13" spans="1:15" ht="15.75" customHeight="1" x14ac:dyDescent="0.25">
      <c r="B13" s="52" t="s">
        <v>28</v>
      </c>
      <c r="C13" s="138">
        <v>0</v>
      </c>
      <c r="D13" s="138">
        <v>0</v>
      </c>
      <c r="E13" s="138">
        <v>1</v>
      </c>
      <c r="F13" s="138">
        <v>1</v>
      </c>
      <c r="G13" s="138">
        <v>1</v>
      </c>
      <c r="H13" s="138">
        <v>0</v>
      </c>
      <c r="I13" s="138">
        <v>0</v>
      </c>
      <c r="J13" s="138">
        <v>0</v>
      </c>
      <c r="K13" s="138">
        <v>0</v>
      </c>
      <c r="L13" s="138">
        <v>0</v>
      </c>
      <c r="M13" s="138">
        <v>0</v>
      </c>
      <c r="N13" s="138">
        <v>0</v>
      </c>
      <c r="O13" s="138">
        <v>0</v>
      </c>
    </row>
    <row r="14" spans="1:15" ht="15.75" customHeight="1" x14ac:dyDescent="0.25">
      <c r="B14" s="52" t="s">
        <v>85</v>
      </c>
      <c r="C14" s="138">
        <v>1</v>
      </c>
      <c r="D14" s="138">
        <v>1</v>
      </c>
      <c r="E14" s="138">
        <v>1</v>
      </c>
      <c r="F14" s="138">
        <v>1</v>
      </c>
      <c r="G14" s="138">
        <v>1</v>
      </c>
      <c r="H14" s="138">
        <v>0</v>
      </c>
      <c r="I14" s="138">
        <v>0</v>
      </c>
      <c r="J14" s="138">
        <v>0</v>
      </c>
      <c r="K14" s="138">
        <v>0</v>
      </c>
      <c r="L14" s="138">
        <v>0</v>
      </c>
      <c r="M14" s="138">
        <v>0</v>
      </c>
      <c r="N14" s="138">
        <v>0</v>
      </c>
      <c r="O14" s="138">
        <v>0</v>
      </c>
    </row>
    <row r="15" spans="1:15" ht="15.75" customHeight="1" x14ac:dyDescent="0.25">
      <c r="B15" s="52" t="s">
        <v>60</v>
      </c>
      <c r="C15" s="138">
        <v>0</v>
      </c>
      <c r="D15" s="138">
        <v>0</v>
      </c>
      <c r="E15" s="138">
        <v>1</v>
      </c>
      <c r="F15" s="138">
        <v>1</v>
      </c>
      <c r="G15" s="138">
        <v>1</v>
      </c>
      <c r="H15" s="138">
        <v>0</v>
      </c>
      <c r="I15" s="138">
        <v>0</v>
      </c>
      <c r="J15" s="138">
        <v>0</v>
      </c>
      <c r="K15" s="138">
        <v>0</v>
      </c>
      <c r="L15" s="138">
        <v>0</v>
      </c>
      <c r="M15" s="138">
        <v>0</v>
      </c>
      <c r="N15" s="138">
        <v>0</v>
      </c>
      <c r="O15" s="138">
        <v>0</v>
      </c>
    </row>
    <row r="16" spans="1:15" ht="15.75" customHeight="1" x14ac:dyDescent="0.25">
      <c r="B16" s="52"/>
      <c r="C16" s="134"/>
      <c r="D16" s="134"/>
      <c r="E16" s="134"/>
      <c r="F16" s="134"/>
      <c r="G16" s="134"/>
      <c r="H16" s="134"/>
      <c r="I16" s="134"/>
      <c r="J16" s="134"/>
      <c r="K16" s="134"/>
      <c r="L16" s="134"/>
      <c r="M16" s="134"/>
      <c r="N16" s="134"/>
      <c r="O16" s="134"/>
    </row>
    <row r="17" spans="1:16" ht="15.75" customHeight="1" x14ac:dyDescent="0.25">
      <c r="A17" s="59" t="s">
        <v>32</v>
      </c>
      <c r="B17" s="52" t="s">
        <v>29</v>
      </c>
      <c r="C17" s="138">
        <v>0</v>
      </c>
      <c r="D17" s="138">
        <v>0</v>
      </c>
      <c r="E17" s="138">
        <v>0</v>
      </c>
      <c r="F17" s="138">
        <v>0</v>
      </c>
      <c r="G17" s="138">
        <v>0</v>
      </c>
      <c r="H17" s="138">
        <v>1</v>
      </c>
      <c r="I17" s="138">
        <v>1</v>
      </c>
      <c r="J17" s="138">
        <v>1</v>
      </c>
      <c r="K17" s="138">
        <v>1</v>
      </c>
      <c r="L17" s="138">
        <v>0</v>
      </c>
      <c r="M17" s="138">
        <v>0</v>
      </c>
      <c r="N17" s="138">
        <v>0</v>
      </c>
      <c r="O17" s="138">
        <v>0</v>
      </c>
    </row>
    <row r="18" spans="1:16" ht="15.75" customHeight="1" x14ac:dyDescent="0.25">
      <c r="A18" s="59"/>
      <c r="B18" s="52" t="s">
        <v>86</v>
      </c>
      <c r="C18" s="138">
        <v>0</v>
      </c>
      <c r="D18" s="138">
        <v>0</v>
      </c>
      <c r="E18" s="138">
        <v>0</v>
      </c>
      <c r="F18" s="138">
        <v>0</v>
      </c>
      <c r="G18" s="138">
        <v>0</v>
      </c>
      <c r="H18" s="138">
        <v>1</v>
      </c>
      <c r="I18" s="138">
        <v>1</v>
      </c>
      <c r="J18" s="138">
        <v>1</v>
      </c>
      <c r="K18" s="138">
        <v>1</v>
      </c>
      <c r="L18" s="138">
        <v>0</v>
      </c>
      <c r="M18" s="138">
        <v>0</v>
      </c>
      <c r="N18" s="138">
        <v>0</v>
      </c>
      <c r="O18" s="138">
        <v>0</v>
      </c>
    </row>
    <row r="19" spans="1:16" ht="15.75" customHeight="1" x14ac:dyDescent="0.25">
      <c r="B19" s="95" t="s">
        <v>187</v>
      </c>
      <c r="C19" s="138">
        <v>0</v>
      </c>
      <c r="D19" s="138">
        <v>0</v>
      </c>
      <c r="E19" s="138">
        <v>0</v>
      </c>
      <c r="F19" s="138">
        <v>0</v>
      </c>
      <c r="G19" s="138">
        <v>0</v>
      </c>
      <c r="H19" s="138">
        <v>1</v>
      </c>
      <c r="I19" s="138">
        <v>1</v>
      </c>
      <c r="J19" s="138">
        <v>1</v>
      </c>
      <c r="K19" s="138">
        <v>1</v>
      </c>
      <c r="L19" s="138">
        <v>0</v>
      </c>
      <c r="M19" s="138">
        <v>0</v>
      </c>
      <c r="N19" s="138">
        <v>0</v>
      </c>
      <c r="O19" s="138">
        <v>0</v>
      </c>
    </row>
    <row r="20" spans="1:16" ht="15.75" customHeight="1" x14ac:dyDescent="0.25">
      <c r="B20" s="95" t="s">
        <v>209</v>
      </c>
      <c r="C20" s="138">
        <v>0</v>
      </c>
      <c r="D20" s="138">
        <v>0</v>
      </c>
      <c r="E20" s="138">
        <v>0</v>
      </c>
      <c r="F20" s="138">
        <v>0</v>
      </c>
      <c r="G20" s="138">
        <v>0</v>
      </c>
      <c r="H20" s="138">
        <v>1</v>
      </c>
      <c r="I20" s="138">
        <v>1</v>
      </c>
      <c r="J20" s="138">
        <v>1</v>
      </c>
      <c r="K20" s="138">
        <v>1</v>
      </c>
      <c r="L20" s="138">
        <v>0</v>
      </c>
      <c r="M20" s="138">
        <v>0</v>
      </c>
      <c r="N20" s="138">
        <v>0</v>
      </c>
      <c r="O20" s="138">
        <v>0</v>
      </c>
    </row>
    <row r="21" spans="1:16" ht="15.75" customHeight="1" x14ac:dyDescent="0.25">
      <c r="B21" s="96" t="s">
        <v>57</v>
      </c>
      <c r="C21" s="138">
        <v>0</v>
      </c>
      <c r="D21" s="138">
        <v>0</v>
      </c>
      <c r="E21" s="138">
        <v>0</v>
      </c>
      <c r="F21" s="138">
        <v>0</v>
      </c>
      <c r="G21" s="138">
        <v>0</v>
      </c>
      <c r="H21" s="138">
        <v>1</v>
      </c>
      <c r="I21" s="138">
        <v>1</v>
      </c>
      <c r="J21" s="138">
        <v>1</v>
      </c>
      <c r="K21" s="138">
        <v>1</v>
      </c>
      <c r="L21" s="138">
        <v>0</v>
      </c>
      <c r="M21" s="138">
        <v>0</v>
      </c>
      <c r="N21" s="138">
        <v>0</v>
      </c>
      <c r="O21" s="138">
        <v>0</v>
      </c>
    </row>
    <row r="22" spans="1:16" ht="15.75" customHeight="1" x14ac:dyDescent="0.25">
      <c r="B22" s="52" t="s">
        <v>88</v>
      </c>
      <c r="C22" s="138">
        <v>0</v>
      </c>
      <c r="D22" s="138">
        <v>0</v>
      </c>
      <c r="E22" s="138">
        <v>0</v>
      </c>
      <c r="F22" s="138">
        <v>0</v>
      </c>
      <c r="G22" s="138">
        <v>0</v>
      </c>
      <c r="H22" s="138">
        <v>1</v>
      </c>
      <c r="I22" s="138">
        <v>1</v>
      </c>
      <c r="J22" s="138">
        <v>1</v>
      </c>
      <c r="K22" s="138">
        <v>1</v>
      </c>
      <c r="L22" s="138">
        <v>0</v>
      </c>
      <c r="M22" s="138">
        <v>0</v>
      </c>
      <c r="N22" s="138">
        <v>0</v>
      </c>
      <c r="O22" s="138">
        <v>0</v>
      </c>
    </row>
    <row r="23" spans="1:16" ht="15.75" customHeight="1" x14ac:dyDescent="0.25">
      <c r="B23" s="52" t="s">
        <v>87</v>
      </c>
      <c r="C23" s="138">
        <v>0</v>
      </c>
      <c r="D23" s="138">
        <v>0</v>
      </c>
      <c r="E23" s="138">
        <v>0</v>
      </c>
      <c r="F23" s="138">
        <v>0</v>
      </c>
      <c r="G23" s="138">
        <v>0</v>
      </c>
      <c r="H23" s="138">
        <v>1</v>
      </c>
      <c r="I23" s="138">
        <v>1</v>
      </c>
      <c r="J23" s="138">
        <v>1</v>
      </c>
      <c r="K23" s="138">
        <v>1</v>
      </c>
      <c r="L23" s="138">
        <v>0</v>
      </c>
      <c r="M23" s="138">
        <v>0</v>
      </c>
      <c r="N23" s="138">
        <v>0</v>
      </c>
      <c r="O23" s="138">
        <v>0</v>
      </c>
    </row>
    <row r="24" spans="1:16" ht="15.75" customHeight="1" x14ac:dyDescent="0.25">
      <c r="B24" s="52" t="s">
        <v>59</v>
      </c>
      <c r="C24" s="138">
        <v>0</v>
      </c>
      <c r="D24" s="138">
        <v>0</v>
      </c>
      <c r="E24" s="138">
        <v>0</v>
      </c>
      <c r="F24" s="138">
        <v>0</v>
      </c>
      <c r="G24" s="138">
        <v>0</v>
      </c>
      <c r="H24" s="138">
        <v>1</v>
      </c>
      <c r="I24" s="138">
        <v>1</v>
      </c>
      <c r="J24" s="138">
        <v>1</v>
      </c>
      <c r="K24" s="138">
        <v>1</v>
      </c>
      <c r="L24" s="138">
        <v>0</v>
      </c>
      <c r="M24" s="138">
        <v>0</v>
      </c>
      <c r="N24" s="138">
        <v>0</v>
      </c>
      <c r="O24" s="138">
        <v>0</v>
      </c>
    </row>
    <row r="25" spans="1:16" ht="15.75" customHeight="1" x14ac:dyDescent="0.25">
      <c r="B25" s="52"/>
      <c r="C25" s="134"/>
      <c r="D25" s="134"/>
      <c r="E25" s="134"/>
      <c r="F25" s="134"/>
      <c r="G25" s="134"/>
      <c r="H25" s="134"/>
      <c r="I25" s="134"/>
      <c r="J25" s="134"/>
      <c r="K25" s="134"/>
      <c r="L25" s="134"/>
      <c r="M25" s="134"/>
      <c r="N25" s="134"/>
      <c r="O25" s="134"/>
    </row>
    <row r="26" spans="1:16" ht="16.149999999999999" customHeight="1" x14ac:dyDescent="0.25">
      <c r="A26" s="59" t="s">
        <v>37</v>
      </c>
      <c r="B26" s="52" t="s">
        <v>198</v>
      </c>
      <c r="C26" s="138">
        <v>0</v>
      </c>
      <c r="D26" s="138">
        <v>0</v>
      </c>
      <c r="E26" s="138">
        <v>0</v>
      </c>
      <c r="F26" s="138">
        <v>0</v>
      </c>
      <c r="G26" s="138">
        <v>0</v>
      </c>
      <c r="H26" s="138">
        <v>0</v>
      </c>
      <c r="I26" s="138">
        <v>0</v>
      </c>
      <c r="J26" s="138">
        <v>0</v>
      </c>
      <c r="K26" s="138">
        <v>0</v>
      </c>
      <c r="L26" s="138">
        <v>1</v>
      </c>
      <c r="M26" s="138">
        <v>0</v>
      </c>
      <c r="N26" s="138">
        <v>0</v>
      </c>
      <c r="O26" s="138">
        <v>0</v>
      </c>
      <c r="P26" s="97"/>
    </row>
    <row r="27" spans="1:16" ht="15.75" customHeight="1" x14ac:dyDescent="0.25">
      <c r="B27" s="63" t="s">
        <v>188</v>
      </c>
      <c r="C27" s="138">
        <v>0</v>
      </c>
      <c r="D27" s="138">
        <v>0</v>
      </c>
      <c r="E27" s="138">
        <v>0</v>
      </c>
      <c r="F27" s="138">
        <v>0</v>
      </c>
      <c r="G27" s="138">
        <v>0</v>
      </c>
      <c r="H27" s="138">
        <v>0</v>
      </c>
      <c r="I27" s="138">
        <v>0</v>
      </c>
      <c r="J27" s="138">
        <v>0</v>
      </c>
      <c r="K27" s="138">
        <v>0</v>
      </c>
      <c r="L27" s="138">
        <v>1</v>
      </c>
      <c r="M27" s="138">
        <v>1</v>
      </c>
      <c r="N27" s="138">
        <v>1</v>
      </c>
      <c r="O27" s="138">
        <v>1</v>
      </c>
    </row>
    <row r="28" spans="1:16" ht="15.75" customHeight="1" x14ac:dyDescent="0.25">
      <c r="A28" s="59"/>
      <c r="B28" s="63" t="s">
        <v>208</v>
      </c>
      <c r="C28" s="138">
        <v>0</v>
      </c>
      <c r="D28" s="138">
        <v>0</v>
      </c>
      <c r="E28" s="138">
        <v>0</v>
      </c>
      <c r="F28" s="138">
        <v>0</v>
      </c>
      <c r="G28" s="138">
        <v>0</v>
      </c>
      <c r="H28" s="138">
        <v>0</v>
      </c>
      <c r="I28" s="138">
        <v>0</v>
      </c>
      <c r="J28" s="138">
        <v>0</v>
      </c>
      <c r="K28" s="138">
        <v>0</v>
      </c>
      <c r="L28" s="138">
        <v>1</v>
      </c>
      <c r="M28" s="138">
        <v>1</v>
      </c>
      <c r="N28" s="138">
        <v>1</v>
      </c>
      <c r="O28" s="138">
        <v>1</v>
      </c>
    </row>
    <row r="29" spans="1:16" ht="15.75" customHeight="1" x14ac:dyDescent="0.25">
      <c r="B29" s="63" t="s">
        <v>189</v>
      </c>
      <c r="C29" s="138">
        <v>0</v>
      </c>
      <c r="D29" s="138">
        <v>0</v>
      </c>
      <c r="E29" s="138">
        <v>0</v>
      </c>
      <c r="F29" s="138">
        <v>0</v>
      </c>
      <c r="G29" s="138">
        <v>0</v>
      </c>
      <c r="H29" s="138">
        <v>0</v>
      </c>
      <c r="I29" s="138">
        <v>0</v>
      </c>
      <c r="J29" s="138">
        <v>0</v>
      </c>
      <c r="K29" s="138">
        <v>0</v>
      </c>
      <c r="L29" s="138">
        <v>1</v>
      </c>
      <c r="M29" s="138">
        <v>1</v>
      </c>
      <c r="N29" s="138">
        <v>1</v>
      </c>
      <c r="O29" s="138">
        <v>1</v>
      </c>
    </row>
    <row r="30" spans="1:16" ht="15.75" customHeight="1" x14ac:dyDescent="0.25">
      <c r="B30" s="63" t="s">
        <v>190</v>
      </c>
      <c r="C30" s="138">
        <v>0</v>
      </c>
      <c r="D30" s="138">
        <v>0</v>
      </c>
      <c r="E30" s="138">
        <v>0</v>
      </c>
      <c r="F30" s="138">
        <v>0</v>
      </c>
      <c r="G30" s="138">
        <v>0</v>
      </c>
      <c r="H30" s="138">
        <v>0</v>
      </c>
      <c r="I30" s="138">
        <v>0</v>
      </c>
      <c r="J30" s="138">
        <v>0</v>
      </c>
      <c r="K30" s="138">
        <v>0</v>
      </c>
      <c r="L30" s="138">
        <v>1</v>
      </c>
      <c r="M30" s="138">
        <v>0</v>
      </c>
      <c r="N30" s="138">
        <v>0</v>
      </c>
      <c r="O30" s="138">
        <v>0</v>
      </c>
    </row>
    <row r="31" spans="1:16" ht="15.75" customHeight="1" x14ac:dyDescent="0.25">
      <c r="B31" s="52"/>
      <c r="C31" s="135"/>
      <c r="D31" s="135"/>
      <c r="E31" s="136"/>
      <c r="F31" s="136"/>
      <c r="G31" s="136"/>
      <c r="H31" s="136"/>
      <c r="I31" s="136"/>
      <c r="J31" s="134"/>
      <c r="K31" s="134"/>
      <c r="L31" s="134"/>
      <c r="M31" s="134"/>
      <c r="N31" s="134"/>
      <c r="O31" s="134"/>
    </row>
    <row r="32" spans="1:16" ht="15.75" customHeight="1" x14ac:dyDescent="0.25">
      <c r="A32" s="59" t="s">
        <v>35</v>
      </c>
      <c r="B32" s="52" t="s">
        <v>63</v>
      </c>
      <c r="C32" s="138">
        <v>1</v>
      </c>
      <c r="D32" s="138">
        <v>0</v>
      </c>
      <c r="E32" s="138">
        <v>1</v>
      </c>
      <c r="F32" s="138">
        <v>1</v>
      </c>
      <c r="G32" s="138">
        <v>1</v>
      </c>
      <c r="H32" s="138">
        <v>1</v>
      </c>
      <c r="I32" s="138">
        <v>1</v>
      </c>
      <c r="J32" s="138">
        <v>1</v>
      </c>
      <c r="K32" s="138">
        <v>1</v>
      </c>
      <c r="L32" s="138">
        <v>1</v>
      </c>
      <c r="M32" s="138">
        <v>1</v>
      </c>
      <c r="N32" s="138">
        <v>1</v>
      </c>
      <c r="O32" s="138">
        <v>1</v>
      </c>
    </row>
    <row r="33" spans="1:15" ht="15.75" customHeight="1" x14ac:dyDescent="0.25">
      <c r="B33" s="52" t="s">
        <v>64</v>
      </c>
      <c r="C33" s="138">
        <v>1</v>
      </c>
      <c r="D33" s="138">
        <v>0</v>
      </c>
      <c r="E33" s="138">
        <v>1</v>
      </c>
      <c r="F33" s="138">
        <v>1</v>
      </c>
      <c r="G33" s="138">
        <v>1</v>
      </c>
      <c r="H33" s="138">
        <v>1</v>
      </c>
      <c r="I33" s="138">
        <v>1</v>
      </c>
      <c r="J33" s="138">
        <v>1</v>
      </c>
      <c r="K33" s="138">
        <v>1</v>
      </c>
      <c r="L33" s="138">
        <v>1</v>
      </c>
      <c r="M33" s="138">
        <v>1</v>
      </c>
      <c r="N33" s="138">
        <v>1</v>
      </c>
      <c r="O33" s="138">
        <v>1</v>
      </c>
    </row>
    <row r="34" spans="1:15" ht="15.75" customHeight="1" x14ac:dyDescent="0.25">
      <c r="B34" s="52" t="s">
        <v>62</v>
      </c>
      <c r="C34" s="138">
        <v>1</v>
      </c>
      <c r="D34" s="138">
        <v>0</v>
      </c>
      <c r="E34" s="138">
        <v>1</v>
      </c>
      <c r="F34" s="138">
        <v>1</v>
      </c>
      <c r="G34" s="138">
        <v>1</v>
      </c>
      <c r="H34" s="138">
        <v>1</v>
      </c>
      <c r="I34" s="138">
        <v>1</v>
      </c>
      <c r="J34" s="138">
        <v>1</v>
      </c>
      <c r="K34" s="138">
        <v>1</v>
      </c>
      <c r="L34" s="138">
        <v>1</v>
      </c>
      <c r="M34" s="138">
        <v>1</v>
      </c>
      <c r="N34" s="138">
        <v>1</v>
      </c>
      <c r="O34" s="138">
        <v>1</v>
      </c>
    </row>
    <row r="35" spans="1:15" ht="15.75" customHeight="1" x14ac:dyDescent="0.25">
      <c r="B35" s="52" t="s">
        <v>47</v>
      </c>
      <c r="C35" s="138">
        <v>1</v>
      </c>
      <c r="D35" s="138">
        <v>0</v>
      </c>
      <c r="E35" s="138">
        <v>1</v>
      </c>
      <c r="F35" s="138">
        <v>1</v>
      </c>
      <c r="G35" s="138">
        <v>1</v>
      </c>
      <c r="H35" s="138">
        <v>1</v>
      </c>
      <c r="I35" s="138">
        <v>1</v>
      </c>
      <c r="J35" s="138">
        <v>1</v>
      </c>
      <c r="K35" s="138">
        <v>1</v>
      </c>
      <c r="L35" s="138">
        <v>1</v>
      </c>
      <c r="M35" s="138">
        <v>1</v>
      </c>
      <c r="N35" s="138">
        <v>1</v>
      </c>
      <c r="O35" s="138">
        <v>1</v>
      </c>
    </row>
    <row r="36" spans="1:15" ht="15.75" customHeight="1" x14ac:dyDescent="0.25">
      <c r="B36" s="52" t="s">
        <v>34</v>
      </c>
      <c r="C36" s="138">
        <v>1</v>
      </c>
      <c r="D36" s="138">
        <v>1</v>
      </c>
      <c r="E36" s="138">
        <v>1</v>
      </c>
      <c r="F36" s="138">
        <v>1</v>
      </c>
      <c r="G36" s="138">
        <v>1</v>
      </c>
      <c r="H36" s="138">
        <v>1</v>
      </c>
      <c r="I36" s="138">
        <v>1</v>
      </c>
      <c r="J36" s="138">
        <v>1</v>
      </c>
      <c r="K36" s="138">
        <v>1</v>
      </c>
      <c r="L36" s="138">
        <v>1</v>
      </c>
      <c r="M36" s="138">
        <v>1</v>
      </c>
      <c r="N36" s="138">
        <v>1</v>
      </c>
      <c r="O36" s="138">
        <v>1</v>
      </c>
    </row>
    <row r="37" spans="1:15" ht="15.75" customHeight="1" x14ac:dyDescent="0.25">
      <c r="A37" s="98"/>
      <c r="B37" s="52" t="s">
        <v>83</v>
      </c>
      <c r="C37" s="138">
        <v>1</v>
      </c>
      <c r="D37" s="138">
        <v>1</v>
      </c>
      <c r="E37" s="138">
        <v>1</v>
      </c>
      <c r="F37" s="138">
        <v>1</v>
      </c>
      <c r="G37" s="138">
        <v>1</v>
      </c>
      <c r="H37" s="138">
        <v>1</v>
      </c>
      <c r="I37" s="138">
        <v>1</v>
      </c>
      <c r="J37" s="138">
        <v>1</v>
      </c>
      <c r="K37" s="138">
        <v>1</v>
      </c>
      <c r="L37" s="138">
        <v>1</v>
      </c>
      <c r="M37" s="138">
        <v>1</v>
      </c>
      <c r="N37" s="138">
        <v>1</v>
      </c>
      <c r="O37" s="138">
        <v>1</v>
      </c>
    </row>
    <row r="38" spans="1:15" s="98" customFormat="1" ht="15.75" customHeight="1" x14ac:dyDescent="0.25">
      <c r="B38" s="52" t="s">
        <v>82</v>
      </c>
      <c r="C38" s="138">
        <v>1</v>
      </c>
      <c r="D38" s="138">
        <v>1</v>
      </c>
      <c r="E38" s="138">
        <v>1</v>
      </c>
      <c r="F38" s="138">
        <v>1</v>
      </c>
      <c r="G38" s="138">
        <v>1</v>
      </c>
      <c r="H38" s="138">
        <v>1</v>
      </c>
      <c r="I38" s="138">
        <v>1</v>
      </c>
      <c r="J38" s="138">
        <v>1</v>
      </c>
      <c r="K38" s="138">
        <v>1</v>
      </c>
      <c r="L38" s="138">
        <v>1</v>
      </c>
      <c r="M38" s="138">
        <v>1</v>
      </c>
      <c r="N38" s="138">
        <v>1</v>
      </c>
      <c r="O38" s="138">
        <v>1</v>
      </c>
    </row>
    <row r="39" spans="1:15" s="98" customFormat="1" ht="15.75" customHeight="1" x14ac:dyDescent="0.25">
      <c r="B39" s="52" t="s">
        <v>81</v>
      </c>
      <c r="C39" s="138">
        <v>1</v>
      </c>
      <c r="D39" s="138">
        <v>1</v>
      </c>
      <c r="E39" s="138">
        <v>1</v>
      </c>
      <c r="F39" s="138">
        <v>1</v>
      </c>
      <c r="G39" s="138">
        <v>1</v>
      </c>
      <c r="H39" s="138">
        <v>1</v>
      </c>
      <c r="I39" s="138">
        <v>1</v>
      </c>
      <c r="J39" s="138">
        <v>1</v>
      </c>
      <c r="K39" s="138">
        <v>1</v>
      </c>
      <c r="L39" s="138">
        <v>1</v>
      </c>
      <c r="M39" s="138">
        <v>1</v>
      </c>
      <c r="N39" s="138">
        <v>1</v>
      </c>
      <c r="O39" s="138">
        <v>1</v>
      </c>
    </row>
    <row r="40" spans="1:15" s="98" customFormat="1" ht="15.75" customHeight="1" x14ac:dyDescent="0.25">
      <c r="B40" s="52" t="s">
        <v>79</v>
      </c>
      <c r="C40" s="138">
        <v>1</v>
      </c>
      <c r="D40" s="138">
        <v>1</v>
      </c>
      <c r="E40" s="138">
        <v>1</v>
      </c>
      <c r="F40" s="138">
        <v>1</v>
      </c>
      <c r="G40" s="138">
        <v>1</v>
      </c>
      <c r="H40" s="138">
        <v>1</v>
      </c>
      <c r="I40" s="138">
        <v>1</v>
      </c>
      <c r="J40" s="138">
        <v>1</v>
      </c>
      <c r="K40" s="138">
        <v>1</v>
      </c>
      <c r="L40" s="138">
        <v>1</v>
      </c>
      <c r="M40" s="138">
        <v>1</v>
      </c>
      <c r="N40" s="138">
        <v>1</v>
      </c>
      <c r="O40" s="138">
        <v>1</v>
      </c>
    </row>
    <row r="41" spans="1:15" ht="15" customHeight="1" x14ac:dyDescent="0.25">
      <c r="B41" s="52" t="s">
        <v>80</v>
      </c>
      <c r="C41" s="138">
        <v>1</v>
      </c>
      <c r="D41" s="138">
        <v>1</v>
      </c>
      <c r="E41" s="138">
        <v>1</v>
      </c>
      <c r="F41" s="138">
        <v>1</v>
      </c>
      <c r="G41" s="138">
        <v>1</v>
      </c>
      <c r="H41" s="138">
        <v>1</v>
      </c>
      <c r="I41" s="138">
        <v>1</v>
      </c>
      <c r="J41" s="138">
        <v>1</v>
      </c>
      <c r="K41" s="138">
        <v>1</v>
      </c>
      <c r="L41" s="138">
        <v>1</v>
      </c>
      <c r="M41" s="138">
        <v>1</v>
      </c>
      <c r="N41" s="138">
        <v>1</v>
      </c>
      <c r="O41" s="138">
        <v>1</v>
      </c>
    </row>
  </sheetData>
  <sheetProtection algorithmName="SHA-512" hashValue="UTAD6hDPFf/Ul0P2TkEmcVLwJIskng6BwO7PQn9KQppd8AxlpMXDzh2uUA/A2vdLAdLHbrkvLJZl/FHFHl0BRA==" saltValue="WyzBb18fC4LyksUq9iofgA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K38"/>
  <sheetViews>
    <sheetView workbookViewId="0">
      <selection activeCell="F8" sqref="F8"/>
    </sheetView>
  </sheetViews>
  <sheetFormatPr defaultColWidth="12.7109375" defaultRowHeight="12.75" x14ac:dyDescent="0.2"/>
  <cols>
    <col min="1" max="1" width="58.85546875" style="35" bestFit="1" customWidth="1"/>
    <col min="2" max="2" width="8.7109375" style="35" bestFit="1" customWidth="1"/>
    <col min="3" max="3" width="8.85546875" style="35" bestFit="1" customWidth="1"/>
    <col min="4" max="4" width="18.28515625" style="35" bestFit="1" customWidth="1"/>
    <col min="5" max="5" width="17.42578125" style="35" bestFit="1" customWidth="1"/>
    <col min="6" max="6" width="13.5703125" style="35" bestFit="1" customWidth="1"/>
    <col min="7" max="7" width="9.7109375" style="35" bestFit="1" customWidth="1"/>
    <col min="8" max="8" width="8.85546875" style="35" bestFit="1" customWidth="1"/>
    <col min="9" max="9" width="14.7109375" style="35" bestFit="1" customWidth="1"/>
    <col min="10" max="10" width="15.28515625" style="35" bestFit="1" customWidth="1"/>
    <col min="11" max="16384" width="12.7109375" style="35"/>
  </cols>
  <sheetData>
    <row r="1" spans="1:11" x14ac:dyDescent="0.2">
      <c r="A1" s="40" t="s">
        <v>69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">
      <c r="A2" s="52" t="s">
        <v>29</v>
      </c>
      <c r="B2" s="138"/>
      <c r="C2" s="138"/>
      <c r="D2" s="138"/>
      <c r="E2" s="138"/>
      <c r="F2" s="138"/>
      <c r="G2" s="138"/>
      <c r="H2" s="138"/>
      <c r="I2" s="138" t="s">
        <v>194</v>
      </c>
      <c r="J2" s="138"/>
      <c r="K2" s="138"/>
    </row>
    <row r="3" spans="1:11" x14ac:dyDescent="0.2">
      <c r="A3" s="52" t="s">
        <v>86</v>
      </c>
      <c r="B3" s="138"/>
      <c r="C3" s="138"/>
      <c r="D3" s="138"/>
      <c r="E3" s="138"/>
      <c r="F3" s="138"/>
      <c r="G3" s="138"/>
      <c r="H3" s="138" t="s">
        <v>194</v>
      </c>
      <c r="I3" s="138"/>
      <c r="J3" s="138"/>
      <c r="K3" s="138"/>
    </row>
    <row r="4" spans="1:11" x14ac:dyDescent="0.2">
      <c r="A4" s="52" t="s">
        <v>61</v>
      </c>
      <c r="B4" s="138"/>
      <c r="C4" s="138"/>
      <c r="D4" s="138" t="s">
        <v>194</v>
      </c>
      <c r="E4" s="138"/>
      <c r="F4" s="138"/>
      <c r="G4" s="138"/>
      <c r="H4" s="138"/>
      <c r="I4" s="138"/>
      <c r="J4" s="138"/>
      <c r="K4" s="138"/>
    </row>
    <row r="5" spans="1:11" x14ac:dyDescent="0.2">
      <c r="A5" s="52" t="s">
        <v>149</v>
      </c>
      <c r="B5" s="138"/>
      <c r="C5" s="138" t="s">
        <v>194</v>
      </c>
      <c r="D5" s="138"/>
      <c r="E5" s="138"/>
      <c r="F5" s="138"/>
      <c r="G5" s="138"/>
      <c r="H5" s="138"/>
      <c r="I5" s="138"/>
      <c r="J5" s="138"/>
      <c r="K5" s="138"/>
    </row>
    <row r="6" spans="1:11" x14ac:dyDescent="0.2">
      <c r="A6" s="52" t="s">
        <v>198</v>
      </c>
      <c r="B6" s="138"/>
      <c r="C6" s="138"/>
      <c r="D6" s="138"/>
      <c r="E6" s="138"/>
      <c r="F6" s="138"/>
      <c r="G6" s="138"/>
      <c r="H6" s="138"/>
      <c r="I6" s="138"/>
      <c r="J6" s="138" t="s">
        <v>194</v>
      </c>
      <c r="K6" s="138" t="s">
        <v>194</v>
      </c>
    </row>
    <row r="7" spans="1:11" x14ac:dyDescent="0.2">
      <c r="A7" s="52" t="s">
        <v>63</v>
      </c>
      <c r="B7" s="138"/>
      <c r="C7" s="138" t="s">
        <v>194</v>
      </c>
      <c r="D7" s="138"/>
      <c r="E7" s="138"/>
      <c r="F7" s="138"/>
      <c r="G7" s="138"/>
      <c r="H7" s="138" t="s">
        <v>194</v>
      </c>
      <c r="I7" s="138"/>
      <c r="J7" s="138"/>
      <c r="K7" s="138"/>
    </row>
    <row r="8" spans="1:11" x14ac:dyDescent="0.2">
      <c r="A8" s="52" t="s">
        <v>64</v>
      </c>
      <c r="B8" s="138"/>
      <c r="C8" s="138" t="s">
        <v>194</v>
      </c>
      <c r="D8" s="138"/>
      <c r="E8" s="138"/>
      <c r="F8" s="138"/>
      <c r="G8" s="138"/>
      <c r="H8" s="138" t="s">
        <v>194</v>
      </c>
      <c r="I8" s="138"/>
      <c r="J8" s="138"/>
      <c r="K8" s="138"/>
    </row>
    <row r="9" spans="1:11" x14ac:dyDescent="0.2">
      <c r="A9" s="52" t="s">
        <v>62</v>
      </c>
      <c r="B9" s="138"/>
      <c r="C9" s="138" t="s">
        <v>194</v>
      </c>
      <c r="D9" s="138"/>
      <c r="E9" s="138"/>
      <c r="F9" s="138"/>
      <c r="G9" s="138"/>
      <c r="H9" s="138" t="s">
        <v>194</v>
      </c>
      <c r="I9" s="138"/>
      <c r="J9" s="138"/>
      <c r="K9" s="138"/>
    </row>
    <row r="10" spans="1:11" x14ac:dyDescent="0.2">
      <c r="A10" s="63" t="s">
        <v>188</v>
      </c>
      <c r="B10" s="138"/>
      <c r="C10" s="138" t="s">
        <v>194</v>
      </c>
      <c r="D10" s="138"/>
      <c r="E10" s="138"/>
      <c r="F10" s="138"/>
      <c r="G10" s="138"/>
      <c r="H10" s="138"/>
      <c r="I10" s="138"/>
      <c r="J10" s="138"/>
      <c r="K10" s="138"/>
    </row>
    <row r="11" spans="1:11" x14ac:dyDescent="0.2">
      <c r="A11" s="63" t="s">
        <v>208</v>
      </c>
      <c r="B11" s="138"/>
      <c r="C11" s="138" t="s">
        <v>194</v>
      </c>
      <c r="D11" s="138"/>
      <c r="E11" s="138"/>
      <c r="F11" s="138"/>
      <c r="G11" s="138"/>
      <c r="H11" s="138"/>
      <c r="I11" s="138"/>
      <c r="J11" s="138"/>
      <c r="K11" s="138"/>
    </row>
    <row r="12" spans="1:11" x14ac:dyDescent="0.2">
      <c r="A12" s="63" t="s">
        <v>189</v>
      </c>
      <c r="B12" s="138"/>
      <c r="C12" s="138" t="s">
        <v>194</v>
      </c>
      <c r="D12" s="138"/>
      <c r="E12" s="138"/>
      <c r="F12" s="138"/>
      <c r="G12" s="138"/>
      <c r="H12" s="138"/>
      <c r="I12" s="138"/>
      <c r="J12" s="138"/>
      <c r="K12" s="138"/>
    </row>
    <row r="13" spans="1:11" x14ac:dyDescent="0.2">
      <c r="A13" s="63" t="s">
        <v>190</v>
      </c>
      <c r="B13" s="138"/>
      <c r="C13" s="138" t="s">
        <v>194</v>
      </c>
      <c r="D13" s="138"/>
      <c r="E13" s="138"/>
      <c r="F13" s="138"/>
      <c r="G13" s="138"/>
      <c r="H13" s="138"/>
      <c r="I13" s="138"/>
      <c r="J13" s="138"/>
      <c r="K13" s="138"/>
    </row>
    <row r="14" spans="1:11" x14ac:dyDescent="0.2">
      <c r="A14" s="95" t="s">
        <v>187</v>
      </c>
      <c r="B14" s="138"/>
      <c r="C14" s="138" t="s">
        <v>194</v>
      </c>
      <c r="D14" s="138"/>
      <c r="E14" s="138"/>
      <c r="F14" s="138"/>
      <c r="G14" s="138"/>
      <c r="H14" s="138"/>
      <c r="I14" s="138" t="s">
        <v>194</v>
      </c>
      <c r="J14" s="138"/>
      <c r="K14" s="138"/>
    </row>
    <row r="15" spans="1:11" x14ac:dyDescent="0.2">
      <c r="A15" s="95" t="s">
        <v>209</v>
      </c>
      <c r="B15" s="138"/>
      <c r="C15" s="138" t="s">
        <v>194</v>
      </c>
      <c r="D15" s="138"/>
      <c r="E15" s="138"/>
      <c r="F15" s="138"/>
      <c r="G15" s="138"/>
      <c r="H15" s="138"/>
      <c r="I15" s="138" t="s">
        <v>194</v>
      </c>
      <c r="J15" s="138"/>
      <c r="K15" s="138"/>
    </row>
    <row r="16" spans="1:11" x14ac:dyDescent="0.2">
      <c r="A16" s="52" t="s">
        <v>57</v>
      </c>
      <c r="B16" s="138"/>
      <c r="C16" s="138" t="s">
        <v>194</v>
      </c>
      <c r="D16" s="138"/>
      <c r="E16" s="138"/>
      <c r="F16" s="138"/>
      <c r="G16" s="138"/>
      <c r="H16" s="138" t="s">
        <v>194</v>
      </c>
      <c r="I16" s="138" t="s">
        <v>194</v>
      </c>
      <c r="J16" s="138"/>
      <c r="K16" s="138"/>
    </row>
    <row r="17" spans="1:11" x14ac:dyDescent="0.2">
      <c r="A17" s="52" t="s">
        <v>47</v>
      </c>
      <c r="B17" s="138"/>
      <c r="C17" s="138" t="s">
        <v>194</v>
      </c>
      <c r="D17" s="138"/>
      <c r="E17" s="138"/>
      <c r="F17" s="138"/>
      <c r="G17" s="138"/>
      <c r="H17" s="138"/>
      <c r="I17" s="138"/>
      <c r="J17" s="138"/>
      <c r="K17" s="138"/>
    </row>
    <row r="18" spans="1:11" x14ac:dyDescent="0.2">
      <c r="A18" s="52" t="s">
        <v>173</v>
      </c>
      <c r="B18" s="138" t="s">
        <v>194</v>
      </c>
      <c r="C18" s="138"/>
      <c r="D18" s="138"/>
      <c r="E18" s="138"/>
      <c r="F18" s="138" t="s">
        <v>194</v>
      </c>
      <c r="G18" s="138"/>
      <c r="H18" s="138"/>
      <c r="I18" s="138"/>
      <c r="J18" s="138"/>
      <c r="K18" s="138"/>
    </row>
    <row r="19" spans="1:11" x14ac:dyDescent="0.2">
      <c r="A19" s="52" t="s">
        <v>199</v>
      </c>
      <c r="B19" s="138" t="s">
        <v>194</v>
      </c>
      <c r="C19" s="138"/>
      <c r="D19" s="138"/>
      <c r="E19" s="138"/>
      <c r="F19" s="138" t="s">
        <v>194</v>
      </c>
      <c r="G19" s="138"/>
      <c r="H19" s="138"/>
      <c r="I19" s="138"/>
      <c r="J19" s="138"/>
      <c r="K19" s="138"/>
    </row>
    <row r="20" spans="1:11" x14ac:dyDescent="0.2">
      <c r="A20" s="52" t="s">
        <v>200</v>
      </c>
      <c r="B20" s="138" t="s">
        <v>194</v>
      </c>
      <c r="C20" s="138"/>
      <c r="D20" s="138"/>
      <c r="E20" s="138"/>
      <c r="F20" s="138" t="s">
        <v>194</v>
      </c>
      <c r="G20" s="138"/>
      <c r="H20" s="138"/>
      <c r="I20" s="138"/>
      <c r="J20" s="138"/>
      <c r="K20" s="138"/>
    </row>
    <row r="21" spans="1:11" x14ac:dyDescent="0.2">
      <c r="A21" s="52" t="s">
        <v>196</v>
      </c>
      <c r="B21" s="138"/>
      <c r="C21" s="138"/>
      <c r="D21" s="138"/>
      <c r="E21" s="138"/>
      <c r="F21" s="138"/>
      <c r="G21" s="138"/>
      <c r="H21" s="138" t="s">
        <v>194</v>
      </c>
      <c r="I21" s="138" t="s">
        <v>194</v>
      </c>
      <c r="J21" s="138"/>
      <c r="K21" s="138"/>
    </row>
    <row r="22" spans="1:11" x14ac:dyDescent="0.2">
      <c r="A22" s="52" t="s">
        <v>136</v>
      </c>
      <c r="B22" s="138" t="s">
        <v>194</v>
      </c>
      <c r="C22" s="138" t="s">
        <v>194</v>
      </c>
      <c r="D22" s="138" t="s">
        <v>194</v>
      </c>
      <c r="E22" s="138"/>
      <c r="F22" s="138"/>
      <c r="G22" s="138"/>
      <c r="H22" s="138"/>
      <c r="I22" s="138"/>
      <c r="J22" s="138"/>
      <c r="K22" s="138"/>
    </row>
    <row r="23" spans="1:11" x14ac:dyDescent="0.2">
      <c r="A23" s="52" t="s">
        <v>34</v>
      </c>
      <c r="B23" s="138"/>
      <c r="C23" s="138" t="s">
        <v>194</v>
      </c>
      <c r="D23" s="138"/>
      <c r="E23" s="138"/>
      <c r="F23" s="138"/>
      <c r="G23" s="138"/>
      <c r="H23" s="138"/>
      <c r="I23" s="138" t="s">
        <v>194</v>
      </c>
      <c r="J23" s="138"/>
      <c r="K23" s="138"/>
    </row>
    <row r="24" spans="1:11" x14ac:dyDescent="0.2">
      <c r="A24" s="52" t="s">
        <v>88</v>
      </c>
      <c r="B24" s="138"/>
      <c r="C24" s="138"/>
      <c r="D24" s="138"/>
      <c r="E24" s="138"/>
      <c r="F24" s="138"/>
      <c r="G24" s="138"/>
      <c r="H24" s="138" t="s">
        <v>194</v>
      </c>
      <c r="I24" s="138"/>
      <c r="J24" s="138"/>
      <c r="K24" s="138"/>
    </row>
    <row r="25" spans="1:11" x14ac:dyDescent="0.2">
      <c r="A25" s="52" t="s">
        <v>87</v>
      </c>
      <c r="B25" s="138"/>
      <c r="C25" s="138"/>
      <c r="D25" s="138"/>
      <c r="E25" s="138"/>
      <c r="F25" s="138"/>
      <c r="G25" s="138"/>
      <c r="H25" s="138" t="s">
        <v>194</v>
      </c>
      <c r="I25" s="138"/>
      <c r="J25" s="138"/>
      <c r="K25" s="138"/>
    </row>
    <row r="26" spans="1:11" x14ac:dyDescent="0.2">
      <c r="A26" s="52" t="s">
        <v>137</v>
      </c>
      <c r="B26" s="138"/>
      <c r="C26" s="138" t="s">
        <v>194</v>
      </c>
      <c r="D26" s="138"/>
      <c r="E26" s="138"/>
      <c r="F26" s="138"/>
      <c r="G26" s="138"/>
      <c r="H26" s="138"/>
      <c r="I26" s="138"/>
      <c r="J26" s="138"/>
      <c r="K26" s="138"/>
    </row>
    <row r="27" spans="1:11" x14ac:dyDescent="0.2">
      <c r="A27" s="52" t="s">
        <v>59</v>
      </c>
      <c r="B27" s="138"/>
      <c r="C27" s="138" t="s">
        <v>194</v>
      </c>
      <c r="D27" s="138"/>
      <c r="E27" s="138"/>
      <c r="F27" s="138"/>
      <c r="G27" s="138"/>
      <c r="H27" s="138"/>
      <c r="I27" s="138" t="s">
        <v>194</v>
      </c>
      <c r="J27" s="138"/>
      <c r="K27" s="138"/>
    </row>
    <row r="28" spans="1:11" x14ac:dyDescent="0.2">
      <c r="A28" s="52" t="s">
        <v>84</v>
      </c>
      <c r="B28" s="138"/>
      <c r="C28" s="138"/>
      <c r="D28" s="138"/>
      <c r="E28" s="138"/>
      <c r="F28" s="138"/>
      <c r="G28" s="138"/>
      <c r="H28" s="138" t="s">
        <v>194</v>
      </c>
      <c r="I28" s="138"/>
      <c r="J28" s="138"/>
      <c r="K28" s="138"/>
    </row>
    <row r="29" spans="1:11" x14ac:dyDescent="0.2">
      <c r="A29" s="52" t="s">
        <v>58</v>
      </c>
      <c r="B29" s="138" t="s">
        <v>194</v>
      </c>
      <c r="C29" s="138"/>
      <c r="D29" s="138" t="s">
        <v>194</v>
      </c>
      <c r="E29" s="138"/>
      <c r="F29" s="138"/>
      <c r="G29" s="138"/>
      <c r="H29" s="138"/>
      <c r="I29" s="138"/>
      <c r="J29" s="138"/>
      <c r="K29" s="138"/>
    </row>
    <row r="30" spans="1:11" x14ac:dyDescent="0.2">
      <c r="A30" s="52" t="s">
        <v>67</v>
      </c>
      <c r="B30" s="138"/>
      <c r="C30" s="138"/>
      <c r="D30" s="138"/>
      <c r="E30" s="138" t="s">
        <v>194</v>
      </c>
      <c r="F30" s="138"/>
      <c r="G30" s="138"/>
      <c r="H30" s="138"/>
      <c r="I30" s="138"/>
      <c r="J30" s="138"/>
      <c r="K30" s="138"/>
    </row>
    <row r="31" spans="1:11" x14ac:dyDescent="0.2">
      <c r="A31" s="52" t="s">
        <v>28</v>
      </c>
      <c r="B31" s="138"/>
      <c r="C31" s="138"/>
      <c r="D31" s="138"/>
      <c r="E31" s="138"/>
      <c r="F31" s="138"/>
      <c r="G31" s="138" t="s">
        <v>194</v>
      </c>
      <c r="H31" s="138" t="s">
        <v>194</v>
      </c>
      <c r="I31" s="138"/>
      <c r="J31" s="138"/>
      <c r="K31" s="138"/>
    </row>
    <row r="32" spans="1:11" x14ac:dyDescent="0.2">
      <c r="A32" s="52" t="s">
        <v>83</v>
      </c>
      <c r="B32" s="138"/>
      <c r="C32" s="138"/>
      <c r="D32" s="138"/>
      <c r="E32" s="138"/>
      <c r="F32" s="138"/>
      <c r="G32" s="138" t="s">
        <v>194</v>
      </c>
      <c r="H32" s="138" t="s">
        <v>194</v>
      </c>
      <c r="I32" s="138"/>
      <c r="J32" s="138"/>
      <c r="K32" s="138"/>
    </row>
    <row r="33" spans="1:11" x14ac:dyDescent="0.2">
      <c r="A33" s="52" t="s">
        <v>82</v>
      </c>
      <c r="B33" s="138"/>
      <c r="C33" s="138"/>
      <c r="D33" s="138"/>
      <c r="E33" s="138"/>
      <c r="F33" s="138"/>
      <c r="G33" s="138" t="s">
        <v>194</v>
      </c>
      <c r="H33" s="138" t="s">
        <v>194</v>
      </c>
      <c r="I33" s="138"/>
      <c r="J33" s="138"/>
      <c r="K33" s="138"/>
    </row>
    <row r="34" spans="1:11" x14ac:dyDescent="0.2">
      <c r="A34" s="52" t="s">
        <v>81</v>
      </c>
      <c r="B34" s="138"/>
      <c r="C34" s="138"/>
      <c r="D34" s="138"/>
      <c r="E34" s="138"/>
      <c r="F34" s="138"/>
      <c r="G34" s="138" t="s">
        <v>194</v>
      </c>
      <c r="H34" s="138" t="s">
        <v>194</v>
      </c>
      <c r="I34" s="138"/>
      <c r="J34" s="138"/>
      <c r="K34" s="138"/>
    </row>
    <row r="35" spans="1:11" x14ac:dyDescent="0.2">
      <c r="A35" s="52" t="s">
        <v>79</v>
      </c>
      <c r="B35" s="138"/>
      <c r="C35" s="138"/>
      <c r="D35" s="138"/>
      <c r="E35" s="138"/>
      <c r="F35" s="138"/>
      <c r="G35" s="138" t="s">
        <v>194</v>
      </c>
      <c r="H35" s="138" t="s">
        <v>194</v>
      </c>
      <c r="I35" s="138"/>
      <c r="J35" s="138"/>
      <c r="K35" s="138"/>
    </row>
    <row r="36" spans="1:11" x14ac:dyDescent="0.2">
      <c r="A36" s="52" t="s">
        <v>80</v>
      </c>
      <c r="B36" s="138"/>
      <c r="C36" s="138"/>
      <c r="D36" s="138"/>
      <c r="E36" s="138"/>
      <c r="F36" s="138"/>
      <c r="G36" s="138" t="s">
        <v>194</v>
      </c>
      <c r="H36" s="138" t="s">
        <v>194</v>
      </c>
      <c r="I36" s="138"/>
      <c r="J36" s="138"/>
      <c r="K36" s="138"/>
    </row>
    <row r="37" spans="1:11" x14ac:dyDescent="0.2">
      <c r="A37" s="52" t="s">
        <v>85</v>
      </c>
      <c r="B37" s="138"/>
      <c r="C37" s="138"/>
      <c r="D37" s="138"/>
      <c r="E37" s="138"/>
      <c r="F37" s="138"/>
      <c r="G37" s="138"/>
      <c r="H37" s="138" t="s">
        <v>194</v>
      </c>
      <c r="I37" s="138"/>
      <c r="J37" s="138"/>
      <c r="K37" s="138"/>
    </row>
    <row r="38" spans="1:11" x14ac:dyDescent="0.2">
      <c r="A38" s="52" t="s">
        <v>60</v>
      </c>
      <c r="B38" s="138" t="s">
        <v>194</v>
      </c>
      <c r="C38" s="138"/>
      <c r="D38" s="138"/>
      <c r="E38" s="138"/>
      <c r="F38" s="138"/>
      <c r="G38" s="138" t="s">
        <v>194</v>
      </c>
      <c r="H38" s="138" t="s">
        <v>194</v>
      </c>
      <c r="I38" s="138"/>
      <c r="J38" s="138"/>
      <c r="K38" s="138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35" bestFit="1" customWidth="1"/>
    <col min="2" max="2" width="8.7109375" style="35" bestFit="1" customWidth="1"/>
    <col min="3" max="3" width="8.85546875" style="35" bestFit="1" customWidth="1"/>
    <col min="4" max="4" width="18.28515625" style="35" bestFit="1" customWidth="1"/>
    <col min="5" max="5" width="17.42578125" style="35" bestFit="1" customWidth="1"/>
    <col min="6" max="6" width="13.5703125" style="35" bestFit="1" customWidth="1"/>
    <col min="7" max="7" width="9.7109375" style="35" bestFit="1" customWidth="1"/>
    <col min="8" max="8" width="8.85546875" style="35" bestFit="1" customWidth="1"/>
    <col min="9" max="9" width="14.7109375" style="35" bestFit="1" customWidth="1"/>
    <col min="10" max="10" width="15.28515625" style="35" bestFit="1" customWidth="1"/>
    <col min="11" max="16384" width="12.7109375" style="35"/>
  </cols>
  <sheetData>
    <row r="1" spans="1:11" x14ac:dyDescent="0.2">
      <c r="A1" s="40" t="s">
        <v>218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">
      <c r="A2" s="35" t="s">
        <v>1</v>
      </c>
      <c r="B2" s="138" t="s">
        <v>194</v>
      </c>
      <c r="C2" s="138" t="s">
        <v>194</v>
      </c>
      <c r="D2" s="138" t="s">
        <v>194</v>
      </c>
      <c r="E2" s="138" t="s">
        <v>194</v>
      </c>
      <c r="F2" s="138" t="s">
        <v>194</v>
      </c>
      <c r="G2" s="138" t="s">
        <v>194</v>
      </c>
      <c r="H2" s="138" t="s">
        <v>194</v>
      </c>
      <c r="I2" s="138"/>
      <c r="J2" s="138"/>
      <c r="K2" s="138"/>
    </row>
    <row r="3" spans="1:11" x14ac:dyDescent="0.2">
      <c r="A3" s="35" t="s">
        <v>2</v>
      </c>
      <c r="B3" s="138" t="s">
        <v>194</v>
      </c>
      <c r="C3" s="138" t="s">
        <v>194</v>
      </c>
      <c r="D3" s="138" t="s">
        <v>194</v>
      </c>
      <c r="E3" s="138" t="s">
        <v>194</v>
      </c>
      <c r="F3" s="138" t="s">
        <v>194</v>
      </c>
      <c r="G3" s="138" t="s">
        <v>194</v>
      </c>
      <c r="H3" s="138" t="s">
        <v>194</v>
      </c>
      <c r="I3" s="138"/>
      <c r="J3" s="138"/>
      <c r="K3" s="138"/>
    </row>
    <row r="4" spans="1:11" x14ac:dyDescent="0.2">
      <c r="A4" s="35" t="s">
        <v>3</v>
      </c>
      <c r="B4" s="138" t="s">
        <v>194</v>
      </c>
      <c r="C4" s="138" t="s">
        <v>194</v>
      </c>
      <c r="D4" s="138" t="s">
        <v>194</v>
      </c>
      <c r="E4" s="138" t="s">
        <v>194</v>
      </c>
      <c r="F4" s="138" t="s">
        <v>194</v>
      </c>
      <c r="G4" s="138" t="s">
        <v>194</v>
      </c>
      <c r="H4" s="138" t="s">
        <v>194</v>
      </c>
      <c r="I4" s="138"/>
      <c r="J4" s="138"/>
      <c r="K4" s="138"/>
    </row>
    <row r="5" spans="1:11" x14ac:dyDescent="0.2">
      <c r="A5" s="35" t="s">
        <v>4</v>
      </c>
      <c r="B5" s="138" t="s">
        <v>194</v>
      </c>
      <c r="C5" s="138" t="s">
        <v>194</v>
      </c>
      <c r="D5" s="138" t="s">
        <v>194</v>
      </c>
      <c r="E5" s="138" t="s">
        <v>194</v>
      </c>
      <c r="F5" s="138" t="s">
        <v>194</v>
      </c>
      <c r="G5" s="138" t="s">
        <v>194</v>
      </c>
      <c r="H5" s="138" t="s">
        <v>194</v>
      </c>
      <c r="I5" s="138"/>
      <c r="J5" s="138"/>
      <c r="K5" s="138"/>
    </row>
    <row r="6" spans="1:11" x14ac:dyDescent="0.2">
      <c r="A6" s="35" t="s">
        <v>5</v>
      </c>
      <c r="B6" s="138" t="s">
        <v>194</v>
      </c>
      <c r="C6" s="138" t="s">
        <v>194</v>
      </c>
      <c r="D6" s="138" t="s">
        <v>194</v>
      </c>
      <c r="E6" s="138" t="s">
        <v>194</v>
      </c>
      <c r="F6" s="138" t="s">
        <v>194</v>
      </c>
      <c r="G6" s="138" t="s">
        <v>194</v>
      </c>
      <c r="H6" s="138" t="s">
        <v>194</v>
      </c>
      <c r="I6" s="138"/>
      <c r="J6" s="138"/>
      <c r="K6" s="138"/>
    </row>
    <row r="7" spans="1:11" x14ac:dyDescent="0.2">
      <c r="A7" s="35" t="s">
        <v>53</v>
      </c>
      <c r="B7" s="138"/>
      <c r="C7" s="138" t="s">
        <v>194</v>
      </c>
      <c r="D7" s="138"/>
      <c r="E7" s="138"/>
      <c r="F7" s="138"/>
      <c r="G7" s="138"/>
      <c r="H7" s="138" t="s">
        <v>194</v>
      </c>
      <c r="I7" s="138" t="s">
        <v>194</v>
      </c>
      <c r="J7" s="138"/>
      <c r="K7" s="138"/>
    </row>
    <row r="8" spans="1:11" x14ac:dyDescent="0.2">
      <c r="A8" s="35" t="s">
        <v>54</v>
      </c>
      <c r="B8" s="138"/>
      <c r="C8" s="138" t="s">
        <v>194</v>
      </c>
      <c r="D8" s="138"/>
      <c r="E8" s="138"/>
      <c r="F8" s="138"/>
      <c r="G8" s="138"/>
      <c r="H8" s="138" t="s">
        <v>194</v>
      </c>
      <c r="I8" s="138" t="s">
        <v>194</v>
      </c>
      <c r="J8" s="138"/>
      <c r="K8" s="138"/>
    </row>
    <row r="9" spans="1:11" x14ac:dyDescent="0.2">
      <c r="A9" s="35" t="s">
        <v>55</v>
      </c>
      <c r="B9" s="138"/>
      <c r="C9" s="138" t="s">
        <v>194</v>
      </c>
      <c r="D9" s="138"/>
      <c r="E9" s="138"/>
      <c r="F9" s="138"/>
      <c r="G9" s="138"/>
      <c r="H9" s="138" t="s">
        <v>194</v>
      </c>
      <c r="I9" s="138" t="s">
        <v>194</v>
      </c>
      <c r="J9" s="138"/>
      <c r="K9" s="138"/>
    </row>
    <row r="10" spans="1:11" x14ac:dyDescent="0.2">
      <c r="A10" s="35" t="s">
        <v>56</v>
      </c>
      <c r="B10" s="138"/>
      <c r="C10" s="138" t="s">
        <v>194</v>
      </c>
      <c r="D10" s="138"/>
      <c r="E10" s="138"/>
      <c r="F10" s="138"/>
      <c r="G10" s="138"/>
      <c r="H10" s="138" t="s">
        <v>194</v>
      </c>
      <c r="I10" s="138" t="s">
        <v>194</v>
      </c>
      <c r="J10" s="138"/>
      <c r="K10" s="138"/>
    </row>
    <row r="11" spans="1:11" x14ac:dyDescent="0.2">
      <c r="A11" s="35" t="s">
        <v>49</v>
      </c>
      <c r="B11" s="138"/>
      <c r="C11" s="138" t="s">
        <v>194</v>
      </c>
      <c r="D11" s="138"/>
      <c r="E11" s="138"/>
      <c r="F11" s="138"/>
      <c r="G11" s="138"/>
      <c r="H11" s="138"/>
      <c r="I11" s="138"/>
      <c r="J11" s="138" t="s">
        <v>194</v>
      </c>
      <c r="K11" s="138" t="s">
        <v>194</v>
      </c>
    </row>
    <row r="12" spans="1:11" x14ac:dyDescent="0.2">
      <c r="A12" s="35" t="s">
        <v>50</v>
      </c>
      <c r="B12" s="138"/>
      <c r="C12" s="138" t="s">
        <v>194</v>
      </c>
      <c r="D12" s="138"/>
      <c r="E12" s="138"/>
      <c r="F12" s="138"/>
      <c r="G12" s="138"/>
      <c r="H12" s="138"/>
      <c r="I12" s="138"/>
      <c r="J12" s="138"/>
      <c r="K12" s="138" t="s">
        <v>194</v>
      </c>
    </row>
    <row r="13" spans="1:11" x14ac:dyDescent="0.2">
      <c r="A13" s="35" t="s">
        <v>51</v>
      </c>
      <c r="B13" s="138"/>
      <c r="C13" s="138" t="s">
        <v>194</v>
      </c>
      <c r="D13" s="138"/>
      <c r="E13" s="138"/>
      <c r="F13" s="138"/>
      <c r="G13" s="138"/>
      <c r="H13" s="138"/>
      <c r="I13" s="138"/>
      <c r="J13" s="138"/>
      <c r="K13" s="138" t="s">
        <v>194</v>
      </c>
    </row>
    <row r="14" spans="1:11" x14ac:dyDescent="0.2">
      <c r="A14" s="35" t="s">
        <v>52</v>
      </c>
      <c r="B14" s="138"/>
      <c r="C14" s="138" t="s">
        <v>194</v>
      </c>
      <c r="D14" s="138"/>
      <c r="E14" s="138"/>
      <c r="F14" s="138"/>
      <c r="G14" s="138"/>
      <c r="H14" s="138"/>
      <c r="I14" s="138"/>
      <c r="J14" s="138"/>
      <c r="K14" s="138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7600"/>
  </sheetPr>
  <dimension ref="A1:I40"/>
  <sheetViews>
    <sheetView zoomScale="85" zoomScaleNormal="85" workbookViewId="0">
      <selection activeCell="B2" sqref="B2:B15"/>
    </sheetView>
  </sheetViews>
  <sheetFormatPr defaultColWidth="14.42578125" defaultRowHeight="15.75" customHeight="1" x14ac:dyDescent="0.2"/>
  <cols>
    <col min="1" max="1" width="8.42578125" style="12" customWidth="1"/>
    <col min="2" max="9" width="16.85546875" style="12" customWidth="1"/>
    <col min="10" max="16384" width="14.42578125" style="12"/>
  </cols>
  <sheetData>
    <row r="1" spans="1:9" s="21" customFormat="1" ht="30" customHeight="1" x14ac:dyDescent="0.2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">
      <c r="A2" s="7">
        <f>start_year</f>
        <v>2017</v>
      </c>
      <c r="B2" s="77">
        <v>46112</v>
      </c>
      <c r="C2" s="78">
        <v>83250.200000000012</v>
      </c>
      <c r="D2" s="78">
        <v>136854</v>
      </c>
      <c r="E2" s="78">
        <v>110512</v>
      </c>
      <c r="F2" s="78">
        <v>82005.8</v>
      </c>
      <c r="G2" s="22">
        <f t="shared" ref="G2:G40" si="0">C2+D2+E2+F2</f>
        <v>412622</v>
      </c>
      <c r="H2" s="22">
        <f t="shared" ref="H2:H40" si="1">(B2 + stillbirth*B2/(1000-stillbirth))/(1-abortion)</f>
        <v>53268.642060879109</v>
      </c>
      <c r="I2" s="22">
        <f>G2-H2</f>
        <v>359353.35793912091</v>
      </c>
    </row>
    <row r="3" spans="1:9" ht="15.75" customHeight="1" x14ac:dyDescent="0.2">
      <c r="A3" s="7">
        <f t="shared" ref="A3:A40" si="2">IF($A$2+ROW(A3)-2&lt;=end_year,A2+1,"")</f>
        <v>2018</v>
      </c>
      <c r="B3" s="77">
        <v>46528</v>
      </c>
      <c r="C3" s="78">
        <v>84618.6</v>
      </c>
      <c r="D3" s="78">
        <v>140465.20000000001</v>
      </c>
      <c r="E3" s="78">
        <v>112506.8</v>
      </c>
      <c r="F3" s="78">
        <v>84577.2</v>
      </c>
      <c r="G3" s="22">
        <f t="shared" si="0"/>
        <v>422167.80000000005</v>
      </c>
      <c r="H3" s="22">
        <f t="shared" si="1"/>
        <v>53749.205799110496</v>
      </c>
      <c r="I3" s="22">
        <f t="shared" ref="I3:I15" si="3">G3-H3</f>
        <v>368418.59420088958</v>
      </c>
    </row>
    <row r="4" spans="1:9" ht="15.75" customHeight="1" x14ac:dyDescent="0.2">
      <c r="A4" s="7">
        <f t="shared" si="2"/>
        <v>2019</v>
      </c>
      <c r="B4" s="77">
        <v>46944</v>
      </c>
      <c r="C4" s="78">
        <v>85927.200000000012</v>
      </c>
      <c r="D4" s="78">
        <v>144178.00000000003</v>
      </c>
      <c r="E4" s="78">
        <v>114477.59999999998</v>
      </c>
      <c r="F4" s="78">
        <v>87195.6</v>
      </c>
      <c r="G4" s="22">
        <f t="shared" si="0"/>
        <v>431778.4</v>
      </c>
      <c r="H4" s="22">
        <f t="shared" si="1"/>
        <v>54229.769537341883</v>
      </c>
      <c r="I4" s="22">
        <f t="shared" si="3"/>
        <v>377548.63046265813</v>
      </c>
    </row>
    <row r="5" spans="1:9" ht="15.75" customHeight="1" x14ac:dyDescent="0.2">
      <c r="A5" s="7">
        <f t="shared" si="2"/>
        <v>2020</v>
      </c>
      <c r="B5" s="77">
        <v>47360</v>
      </c>
      <c r="C5" s="78">
        <v>87242.200000000012</v>
      </c>
      <c r="D5" s="78">
        <v>147894</v>
      </c>
      <c r="E5" s="78">
        <v>116479.8</v>
      </c>
      <c r="F5" s="78">
        <v>89841.200000000012</v>
      </c>
      <c r="G5" s="22">
        <f t="shared" si="0"/>
        <v>441457.2</v>
      </c>
      <c r="H5" s="22">
        <f t="shared" si="1"/>
        <v>54710.33327557327</v>
      </c>
      <c r="I5" s="22">
        <f t="shared" si="3"/>
        <v>386746.86672442674</v>
      </c>
    </row>
    <row r="6" spans="1:9" ht="15.75" customHeight="1" x14ac:dyDescent="0.2">
      <c r="A6" s="7">
        <f t="shared" si="2"/>
        <v>2021</v>
      </c>
      <c r="B6" s="77">
        <v>47736</v>
      </c>
      <c r="C6" s="78">
        <v>88533.8</v>
      </c>
      <c r="D6" s="78">
        <v>151583.4</v>
      </c>
      <c r="E6" s="78">
        <v>118472.8</v>
      </c>
      <c r="F6" s="78">
        <v>92399.200000000012</v>
      </c>
      <c r="G6" s="22">
        <f t="shared" si="0"/>
        <v>450989.2</v>
      </c>
      <c r="H6" s="22">
        <f t="shared" si="1"/>
        <v>55144.68896205163</v>
      </c>
      <c r="I6" s="22">
        <f t="shared" si="3"/>
        <v>395844.51103794837</v>
      </c>
    </row>
    <row r="7" spans="1:9" ht="15.75" customHeight="1" x14ac:dyDescent="0.2">
      <c r="A7" s="7">
        <f t="shared" si="2"/>
        <v>2022</v>
      </c>
      <c r="B7" s="77">
        <v>48112</v>
      </c>
      <c r="C7" s="78">
        <v>89828.6</v>
      </c>
      <c r="D7" s="78">
        <v>155284.4</v>
      </c>
      <c r="E7" s="78">
        <v>120499.40000000002</v>
      </c>
      <c r="F7" s="78">
        <v>95006.2</v>
      </c>
      <c r="G7" s="22">
        <f t="shared" si="0"/>
        <v>460618.60000000003</v>
      </c>
      <c r="H7" s="22">
        <f t="shared" si="1"/>
        <v>55579.044648530005</v>
      </c>
      <c r="I7" s="22">
        <f t="shared" si="3"/>
        <v>405039.55535147002</v>
      </c>
    </row>
    <row r="8" spans="1:9" ht="15.75" customHeight="1" x14ac:dyDescent="0.2">
      <c r="A8" s="7">
        <f t="shared" si="2"/>
        <v>2023</v>
      </c>
      <c r="B8" s="77">
        <v>48488</v>
      </c>
      <c r="C8" s="78">
        <v>91086.200000000012</v>
      </c>
      <c r="D8" s="78">
        <v>158924.20000000001</v>
      </c>
      <c r="E8" s="78">
        <v>122647.20000000001</v>
      </c>
      <c r="F8" s="78">
        <v>97603.199999999997</v>
      </c>
      <c r="G8" s="22">
        <f t="shared" si="0"/>
        <v>470260.80000000005</v>
      </c>
      <c r="H8" s="22">
        <f t="shared" si="1"/>
        <v>56013.400335008373</v>
      </c>
      <c r="I8" s="22">
        <f t="shared" si="3"/>
        <v>414247.39966499165</v>
      </c>
    </row>
    <row r="9" spans="1:9" ht="15.75" customHeight="1" x14ac:dyDescent="0.2">
      <c r="A9" s="7">
        <f t="shared" si="2"/>
        <v>2024</v>
      </c>
      <c r="B9" s="77">
        <v>48864</v>
      </c>
      <c r="C9" s="78">
        <v>92241.200000000012</v>
      </c>
      <c r="D9" s="78">
        <v>162407.40000000002</v>
      </c>
      <c r="E9" s="78">
        <v>125046</v>
      </c>
      <c r="F9" s="78">
        <v>100107.8</v>
      </c>
      <c r="G9" s="22">
        <f t="shared" si="0"/>
        <v>479802.4</v>
      </c>
      <c r="H9" s="22">
        <f t="shared" si="1"/>
        <v>56447.756021486741</v>
      </c>
      <c r="I9" s="22">
        <f t="shared" si="3"/>
        <v>423354.64397851331</v>
      </c>
    </row>
    <row r="10" spans="1:9" ht="15.75" customHeight="1" x14ac:dyDescent="0.2">
      <c r="A10" s="7">
        <f t="shared" si="2"/>
        <v>2025</v>
      </c>
      <c r="B10" s="77">
        <v>49240</v>
      </c>
      <c r="C10" s="78">
        <v>93261.200000000012</v>
      </c>
      <c r="D10" s="78">
        <v>165675</v>
      </c>
      <c r="E10" s="78">
        <v>127772.40000000002</v>
      </c>
      <c r="F10" s="78">
        <v>102472.80000000002</v>
      </c>
      <c r="G10" s="22">
        <f t="shared" si="0"/>
        <v>489181.4</v>
      </c>
      <c r="H10" s="22">
        <f t="shared" si="1"/>
        <v>56882.111707965116</v>
      </c>
      <c r="I10" s="22">
        <f t="shared" si="3"/>
        <v>432299.28829203488</v>
      </c>
    </row>
    <row r="11" spans="1:9" ht="15.75" customHeight="1" x14ac:dyDescent="0.2">
      <c r="A11" s="7">
        <f t="shared" si="2"/>
        <v>2026</v>
      </c>
      <c r="B11" s="77">
        <v>49560</v>
      </c>
      <c r="C11" s="78">
        <v>94186.200000000012</v>
      </c>
      <c r="D11" s="78">
        <v>168749.6</v>
      </c>
      <c r="E11" s="78">
        <v>130818.6</v>
      </c>
      <c r="F11" s="78">
        <v>104628.40000000002</v>
      </c>
      <c r="G11" s="22">
        <f t="shared" si="0"/>
        <v>498382.80000000005</v>
      </c>
      <c r="H11" s="22">
        <f t="shared" si="1"/>
        <v>57251.776121989264</v>
      </c>
      <c r="I11" s="22">
        <f t="shared" si="3"/>
        <v>441131.0238780108</v>
      </c>
    </row>
    <row r="12" spans="1:9" ht="15.75" customHeight="1" x14ac:dyDescent="0.2">
      <c r="A12" s="7">
        <f t="shared" si="2"/>
        <v>2027</v>
      </c>
      <c r="B12" s="77">
        <v>49880</v>
      </c>
      <c r="C12" s="78">
        <v>94998.6</v>
      </c>
      <c r="D12" s="78">
        <v>171595.2</v>
      </c>
      <c r="E12" s="78">
        <v>134195.20000000001</v>
      </c>
      <c r="F12" s="78">
        <v>106688.20000000001</v>
      </c>
      <c r="G12" s="22">
        <f t="shared" si="0"/>
        <v>507477.20000000007</v>
      </c>
      <c r="H12" s="22">
        <f t="shared" si="1"/>
        <v>57621.440536013404</v>
      </c>
      <c r="I12" s="22">
        <f t="shared" si="3"/>
        <v>449855.75946398667</v>
      </c>
    </row>
    <row r="13" spans="1:9" ht="15.75" customHeight="1" x14ac:dyDescent="0.2">
      <c r="A13" s="7">
        <f t="shared" si="2"/>
        <v>2028</v>
      </c>
      <c r="B13" s="77">
        <v>50200</v>
      </c>
      <c r="C13" s="78">
        <v>95746.400000000009</v>
      </c>
      <c r="D13" s="78">
        <v>174229.2</v>
      </c>
      <c r="E13" s="78">
        <v>137807.20000000001</v>
      </c>
      <c r="F13" s="78">
        <v>108682.6</v>
      </c>
      <c r="G13" s="22">
        <f t="shared" si="0"/>
        <v>516465.4</v>
      </c>
      <c r="H13" s="22">
        <f t="shared" si="1"/>
        <v>57991.104950037545</v>
      </c>
      <c r="I13" s="22">
        <f t="shared" si="3"/>
        <v>458474.29504996247</v>
      </c>
    </row>
    <row r="14" spans="1:9" ht="15.75" customHeight="1" x14ac:dyDescent="0.2">
      <c r="A14" s="7">
        <f t="shared" si="2"/>
        <v>2029</v>
      </c>
      <c r="B14" s="77">
        <v>50520</v>
      </c>
      <c r="C14" s="78">
        <v>96510.6</v>
      </c>
      <c r="D14" s="78">
        <v>176700</v>
      </c>
      <c r="E14" s="78">
        <v>141510</v>
      </c>
      <c r="F14" s="78">
        <v>110666.80000000003</v>
      </c>
      <c r="G14" s="22">
        <f t="shared" si="0"/>
        <v>525387.4</v>
      </c>
      <c r="H14" s="22">
        <f t="shared" si="1"/>
        <v>58360.769364061693</v>
      </c>
      <c r="I14" s="22">
        <f t="shared" si="3"/>
        <v>467026.63063593832</v>
      </c>
    </row>
    <row r="15" spans="1:9" ht="15.75" customHeight="1" x14ac:dyDescent="0.2">
      <c r="A15" s="7">
        <f t="shared" si="2"/>
        <v>2030</v>
      </c>
      <c r="B15" s="77">
        <v>50840</v>
      </c>
      <c r="C15" s="78">
        <v>97342.400000000009</v>
      </c>
      <c r="D15" s="78">
        <v>179038.6</v>
      </c>
      <c r="E15" s="78">
        <v>145199.20000000004</v>
      </c>
      <c r="F15" s="78">
        <v>112684.40000000001</v>
      </c>
      <c r="G15" s="22">
        <f t="shared" si="0"/>
        <v>534264.60000000009</v>
      </c>
      <c r="H15" s="22">
        <f t="shared" si="1"/>
        <v>58730.433778085833</v>
      </c>
      <c r="I15" s="22">
        <f t="shared" si="3"/>
        <v>475534.16622191423</v>
      </c>
    </row>
    <row r="16" spans="1:9" ht="15.75" customHeight="1" x14ac:dyDescent="0.2">
      <c r="A16" s="7" t="str">
        <f t="shared" si="2"/>
        <v/>
      </c>
      <c r="B16" s="77"/>
      <c r="C16" s="78"/>
      <c r="D16" s="78"/>
      <c r="E16" s="78"/>
      <c r="F16" s="78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">
      <c r="A17" s="7" t="str">
        <f t="shared" si="2"/>
        <v/>
      </c>
      <c r="B17" s="77"/>
      <c r="C17" s="78"/>
      <c r="D17" s="78"/>
      <c r="E17" s="78"/>
      <c r="F17" s="78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">
      <c r="A18" s="7" t="str">
        <f t="shared" si="2"/>
        <v/>
      </c>
      <c r="B18" s="77"/>
      <c r="C18" s="78"/>
      <c r="D18" s="78"/>
      <c r="E18" s="78"/>
      <c r="F18" s="78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">
      <c r="A19" s="7" t="str">
        <f t="shared" si="2"/>
        <v/>
      </c>
      <c r="B19" s="77"/>
      <c r="C19" s="78"/>
      <c r="D19" s="78"/>
      <c r="E19" s="78"/>
      <c r="F19" s="78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">
      <c r="A20" s="7" t="str">
        <f t="shared" si="2"/>
        <v/>
      </c>
      <c r="B20" s="77"/>
      <c r="C20" s="78"/>
      <c r="D20" s="78"/>
      <c r="E20" s="78"/>
      <c r="F20" s="78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">
      <c r="A21" s="7" t="str">
        <f t="shared" si="2"/>
        <v/>
      </c>
      <c r="B21" s="77"/>
      <c r="C21" s="78"/>
      <c r="D21" s="78"/>
      <c r="E21" s="78"/>
      <c r="F21" s="78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">
      <c r="A22" s="7" t="str">
        <f t="shared" si="2"/>
        <v/>
      </c>
      <c r="B22" s="77"/>
      <c r="C22" s="78"/>
      <c r="D22" s="78"/>
      <c r="E22" s="78"/>
      <c r="F22" s="78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">
      <c r="A23" s="7" t="str">
        <f t="shared" si="2"/>
        <v/>
      </c>
      <c r="B23" s="77"/>
      <c r="C23" s="78"/>
      <c r="D23" s="78"/>
      <c r="E23" s="78"/>
      <c r="F23" s="78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">
      <c r="A24" s="7" t="str">
        <f t="shared" si="2"/>
        <v/>
      </c>
      <c r="B24" s="77"/>
      <c r="C24" s="78"/>
      <c r="D24" s="78"/>
      <c r="E24" s="78"/>
      <c r="F24" s="78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">
      <c r="A25" s="7" t="str">
        <f t="shared" si="2"/>
        <v/>
      </c>
      <c r="B25" s="77"/>
      <c r="C25" s="78"/>
      <c r="D25" s="78"/>
      <c r="E25" s="78"/>
      <c r="F25" s="78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">
      <c r="A26" s="7" t="str">
        <f t="shared" si="2"/>
        <v/>
      </c>
      <c r="B26" s="77"/>
      <c r="C26" s="78"/>
      <c r="D26" s="78"/>
      <c r="E26" s="78"/>
      <c r="F26" s="78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">
      <c r="A27" s="7" t="str">
        <f t="shared" si="2"/>
        <v/>
      </c>
      <c r="B27" s="77"/>
      <c r="C27" s="78"/>
      <c r="D27" s="78"/>
      <c r="E27" s="78"/>
      <c r="F27" s="78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">
      <c r="A28" s="7" t="str">
        <f t="shared" si="2"/>
        <v/>
      </c>
      <c r="B28" s="77"/>
      <c r="C28" s="78"/>
      <c r="D28" s="78"/>
      <c r="E28" s="78"/>
      <c r="F28" s="78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">
      <c r="A29" s="7" t="str">
        <f t="shared" si="2"/>
        <v/>
      </c>
      <c r="B29" s="77"/>
      <c r="C29" s="78"/>
      <c r="D29" s="78"/>
      <c r="E29" s="78"/>
      <c r="F29" s="78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">
      <c r="A30" s="7" t="str">
        <f t="shared" si="2"/>
        <v/>
      </c>
      <c r="B30" s="77"/>
      <c r="C30" s="78"/>
      <c r="D30" s="78"/>
      <c r="E30" s="78"/>
      <c r="F30" s="78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">
      <c r="A31" s="7" t="str">
        <f t="shared" si="2"/>
        <v/>
      </c>
      <c r="B31" s="77"/>
      <c r="C31" s="78"/>
      <c r="D31" s="78"/>
      <c r="E31" s="78"/>
      <c r="F31" s="78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">
      <c r="A32" s="7" t="str">
        <f t="shared" si="2"/>
        <v/>
      </c>
      <c r="B32" s="77"/>
      <c r="C32" s="78"/>
      <c r="D32" s="78"/>
      <c r="E32" s="78"/>
      <c r="F32" s="78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">
      <c r="A33" s="7" t="str">
        <f t="shared" si="2"/>
        <v/>
      </c>
      <c r="B33" s="77"/>
      <c r="C33" s="78"/>
      <c r="D33" s="78"/>
      <c r="E33" s="78"/>
      <c r="F33" s="78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">
      <c r="A34" s="7" t="str">
        <f t="shared" si="2"/>
        <v/>
      </c>
      <c r="B34" s="77"/>
      <c r="C34" s="78"/>
      <c r="D34" s="78"/>
      <c r="E34" s="78"/>
      <c r="F34" s="78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">
      <c r="A35" s="7" t="str">
        <f t="shared" si="2"/>
        <v/>
      </c>
      <c r="B35" s="77"/>
      <c r="C35" s="78"/>
      <c r="D35" s="78"/>
      <c r="E35" s="78"/>
      <c r="F35" s="78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">
      <c r="A36" s="7" t="str">
        <f t="shared" si="2"/>
        <v/>
      </c>
      <c r="B36" s="77"/>
      <c r="C36" s="78"/>
      <c r="D36" s="78"/>
      <c r="E36" s="78"/>
      <c r="F36" s="78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">
      <c r="A37" s="7" t="str">
        <f t="shared" si="2"/>
        <v/>
      </c>
      <c r="B37" s="77"/>
      <c r="C37" s="78"/>
      <c r="D37" s="78"/>
      <c r="E37" s="78"/>
      <c r="F37" s="78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">
      <c r="A38" s="7" t="str">
        <f t="shared" si="2"/>
        <v/>
      </c>
      <c r="B38" s="77"/>
      <c r="C38" s="78"/>
      <c r="D38" s="78"/>
      <c r="E38" s="78"/>
      <c r="F38" s="78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">
      <c r="A39" s="7" t="str">
        <f t="shared" si="2"/>
        <v/>
      </c>
      <c r="B39" s="77"/>
      <c r="C39" s="78"/>
      <c r="D39" s="78"/>
      <c r="E39" s="78"/>
      <c r="F39" s="78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">
      <c r="A40" s="7" t="str">
        <f t="shared" si="2"/>
        <v/>
      </c>
      <c r="B40" s="77"/>
      <c r="C40" s="78"/>
      <c r="D40" s="78"/>
      <c r="E40" s="78"/>
      <c r="F40" s="78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B16:I40 G2:I15">
    <cfRule type="expression" dxfId="1" priority="10">
      <formula>$A2=""</formula>
    </cfRule>
  </conditionalFormatting>
  <conditionalFormatting sqref="B2:F15">
    <cfRule type="expression" dxfId="0" priority="1">
      <formula>$A2=""</formula>
    </cfRule>
  </conditionalFormatting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 tint="-0.249977111117893"/>
  </sheetPr>
  <dimension ref="A1:J51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35" customWidth="1"/>
    <col min="2" max="2" width="15" style="35" customWidth="1"/>
    <col min="3" max="3" width="14.7109375" style="35" customWidth="1"/>
    <col min="4" max="16384" width="12.7109375" style="35"/>
  </cols>
  <sheetData>
    <row r="1" spans="1:10" x14ac:dyDescent="0.2">
      <c r="A1" s="40" t="s">
        <v>219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9" t="s">
        <v>5</v>
      </c>
    </row>
    <row r="2" spans="1:10" x14ac:dyDescent="0.2">
      <c r="A2" s="40" t="s">
        <v>220</v>
      </c>
      <c r="B2" s="142" t="s">
        <v>32</v>
      </c>
      <c r="C2" s="35" t="s">
        <v>176</v>
      </c>
      <c r="D2" s="139">
        <v>1</v>
      </c>
      <c r="E2" s="139">
        <v>1</v>
      </c>
      <c r="F2" s="139">
        <v>1</v>
      </c>
      <c r="G2" s="139">
        <v>1</v>
      </c>
      <c r="H2" s="139">
        <v>1</v>
      </c>
    </row>
    <row r="3" spans="1:10" x14ac:dyDescent="0.2">
      <c r="B3" s="142"/>
      <c r="C3" s="35" t="s">
        <v>175</v>
      </c>
      <c r="D3" s="139">
        <v>1</v>
      </c>
      <c r="E3" s="139">
        <v>1</v>
      </c>
      <c r="F3" s="139">
        <v>1</v>
      </c>
      <c r="G3" s="139">
        <v>1</v>
      </c>
      <c r="H3" s="139">
        <v>1</v>
      </c>
      <c r="J3" s="100"/>
    </row>
    <row r="4" spans="1:10" x14ac:dyDescent="0.2">
      <c r="B4" s="142"/>
      <c r="C4" s="35" t="s">
        <v>174</v>
      </c>
      <c r="D4" s="139">
        <v>1</v>
      </c>
      <c r="E4" s="139">
        <v>1</v>
      </c>
      <c r="F4" s="139">
        <v>1</v>
      </c>
      <c r="G4" s="139">
        <v>1</v>
      </c>
      <c r="H4" s="139">
        <v>1</v>
      </c>
      <c r="J4" s="100"/>
    </row>
    <row r="5" spans="1:10" x14ac:dyDescent="0.2">
      <c r="B5" s="142" t="s">
        <v>1</v>
      </c>
      <c r="C5" s="35" t="s">
        <v>176</v>
      </c>
      <c r="D5" s="139">
        <f>5.16</f>
        <v>5.16</v>
      </c>
      <c r="E5" s="139">
        <v>1</v>
      </c>
      <c r="F5" s="139">
        <v>1</v>
      </c>
      <c r="G5" s="139">
        <v>1</v>
      </c>
      <c r="H5" s="139">
        <v>1</v>
      </c>
    </row>
    <row r="6" spans="1:10" x14ac:dyDescent="0.2">
      <c r="B6" s="142"/>
      <c r="C6" s="35" t="s">
        <v>175</v>
      </c>
      <c r="D6" s="139">
        <v>5.16</v>
      </c>
      <c r="E6" s="139">
        <v>1</v>
      </c>
      <c r="F6" s="139">
        <v>1</v>
      </c>
      <c r="G6" s="139">
        <v>1</v>
      </c>
      <c r="H6" s="139">
        <v>1</v>
      </c>
    </row>
    <row r="7" spans="1:10" x14ac:dyDescent="0.2">
      <c r="B7" s="142"/>
      <c r="C7" s="35" t="s">
        <v>174</v>
      </c>
      <c r="D7" s="139">
        <v>1</v>
      </c>
      <c r="E7" s="139">
        <v>1</v>
      </c>
      <c r="F7" s="139">
        <v>1</v>
      </c>
      <c r="G7" s="139">
        <v>1</v>
      </c>
      <c r="H7" s="139">
        <v>1</v>
      </c>
    </row>
    <row r="8" spans="1:10" x14ac:dyDescent="0.2">
      <c r="B8" s="142" t="s">
        <v>2</v>
      </c>
      <c r="C8" s="35" t="s">
        <v>176</v>
      </c>
      <c r="D8" s="139">
        <v>1</v>
      </c>
      <c r="E8" s="139">
        <v>5.16</v>
      </c>
      <c r="F8" s="139">
        <v>1</v>
      </c>
      <c r="G8" s="139">
        <v>1</v>
      </c>
      <c r="H8" s="139">
        <v>1</v>
      </c>
    </row>
    <row r="9" spans="1:10" x14ac:dyDescent="0.2">
      <c r="B9" s="142"/>
      <c r="C9" s="35" t="s">
        <v>175</v>
      </c>
      <c r="D9" s="139">
        <v>1</v>
      </c>
      <c r="E9" s="139">
        <v>5.16</v>
      </c>
      <c r="F9" s="139">
        <v>1</v>
      </c>
      <c r="G9" s="139">
        <v>1</v>
      </c>
      <c r="H9" s="139">
        <v>1</v>
      </c>
    </row>
    <row r="10" spans="1:10" x14ac:dyDescent="0.2">
      <c r="B10" s="142"/>
      <c r="C10" s="35" t="s">
        <v>174</v>
      </c>
      <c r="D10" s="139">
        <v>1</v>
      </c>
      <c r="E10" s="139">
        <v>1</v>
      </c>
      <c r="F10" s="139">
        <v>1</v>
      </c>
      <c r="G10" s="139">
        <v>1</v>
      </c>
      <c r="H10" s="139">
        <v>1</v>
      </c>
    </row>
    <row r="11" spans="1:10" x14ac:dyDescent="0.2">
      <c r="B11" s="142" t="s">
        <v>3</v>
      </c>
      <c r="C11" s="35" t="s">
        <v>176</v>
      </c>
      <c r="D11" s="139">
        <v>1</v>
      </c>
      <c r="E11" s="139">
        <v>1</v>
      </c>
      <c r="F11" s="139">
        <v>1.82</v>
      </c>
      <c r="G11" s="139">
        <v>1</v>
      </c>
      <c r="H11" s="139">
        <v>1</v>
      </c>
    </row>
    <row r="12" spans="1:10" x14ac:dyDescent="0.2">
      <c r="B12" s="142"/>
      <c r="C12" s="35" t="s">
        <v>175</v>
      </c>
      <c r="D12" s="139">
        <v>1</v>
      </c>
      <c r="E12" s="139">
        <v>1</v>
      </c>
      <c r="F12" s="139">
        <v>1.82</v>
      </c>
      <c r="G12" s="139">
        <v>1</v>
      </c>
      <c r="H12" s="139">
        <v>1</v>
      </c>
    </row>
    <row r="13" spans="1:10" x14ac:dyDescent="0.2">
      <c r="B13" s="142"/>
      <c r="C13" s="35" t="s">
        <v>174</v>
      </c>
      <c r="D13" s="139">
        <v>1</v>
      </c>
      <c r="E13" s="139">
        <v>1</v>
      </c>
      <c r="F13" s="139">
        <v>1</v>
      </c>
      <c r="G13" s="139">
        <v>1</v>
      </c>
      <c r="H13" s="139">
        <v>1</v>
      </c>
    </row>
    <row r="14" spans="1:10" x14ac:dyDescent="0.2">
      <c r="B14" s="142" t="s">
        <v>4</v>
      </c>
      <c r="C14" s="35" t="s">
        <v>176</v>
      </c>
      <c r="D14" s="139">
        <v>1</v>
      </c>
      <c r="E14" s="139">
        <v>1</v>
      </c>
      <c r="F14" s="139">
        <v>1</v>
      </c>
      <c r="G14" s="139">
        <v>1.82</v>
      </c>
      <c r="H14" s="139">
        <v>1</v>
      </c>
    </row>
    <row r="15" spans="1:10" x14ac:dyDescent="0.2">
      <c r="B15" s="142"/>
      <c r="C15" s="35" t="s">
        <v>175</v>
      </c>
      <c r="D15" s="139">
        <v>1</v>
      </c>
      <c r="E15" s="139">
        <v>1</v>
      </c>
      <c r="F15" s="139">
        <v>1</v>
      </c>
      <c r="G15" s="139">
        <v>1.82</v>
      </c>
      <c r="H15" s="139">
        <v>1</v>
      </c>
    </row>
    <row r="16" spans="1:10" x14ac:dyDescent="0.2">
      <c r="B16" s="142"/>
      <c r="C16" s="35" t="s">
        <v>174</v>
      </c>
      <c r="D16" s="139">
        <v>1</v>
      </c>
      <c r="E16" s="139">
        <v>1</v>
      </c>
      <c r="F16" s="139">
        <v>1</v>
      </c>
      <c r="G16" s="139">
        <v>1</v>
      </c>
      <c r="H16" s="139">
        <v>1</v>
      </c>
    </row>
    <row r="17" spans="1:8" x14ac:dyDescent="0.2">
      <c r="B17" s="101" t="s">
        <v>172</v>
      </c>
      <c r="C17" s="35" t="s">
        <v>174</v>
      </c>
      <c r="D17" s="139">
        <v>1.05</v>
      </c>
      <c r="E17" s="139">
        <v>1.05</v>
      </c>
      <c r="F17" s="139">
        <v>1.05</v>
      </c>
      <c r="G17" s="139">
        <v>1.05</v>
      </c>
      <c r="H17" s="139">
        <v>1</v>
      </c>
    </row>
    <row r="18" spans="1:8" x14ac:dyDescent="0.2">
      <c r="D18" s="137"/>
      <c r="E18" s="137"/>
      <c r="F18" s="137"/>
      <c r="G18" s="137"/>
      <c r="H18" s="137"/>
    </row>
    <row r="19" spans="1:8" x14ac:dyDescent="0.2">
      <c r="A19" s="40" t="s">
        <v>221</v>
      </c>
      <c r="B19" s="142" t="s">
        <v>32</v>
      </c>
      <c r="C19" s="35" t="s">
        <v>176</v>
      </c>
      <c r="D19" s="139">
        <v>1</v>
      </c>
      <c r="E19" s="139">
        <v>1</v>
      </c>
      <c r="F19" s="139">
        <v>0.98</v>
      </c>
      <c r="G19" s="139">
        <v>0.98</v>
      </c>
      <c r="H19" s="139">
        <v>1</v>
      </c>
    </row>
    <row r="20" spans="1:8" x14ac:dyDescent="0.2">
      <c r="B20" s="142"/>
      <c r="C20" s="35" t="s">
        <v>175</v>
      </c>
      <c r="D20" s="139">
        <v>1</v>
      </c>
      <c r="E20" s="139">
        <v>1</v>
      </c>
      <c r="F20" s="139">
        <v>0.98</v>
      </c>
      <c r="G20" s="139">
        <v>0.98</v>
      </c>
      <c r="H20" s="139">
        <v>1</v>
      </c>
    </row>
    <row r="21" spans="1:8" x14ac:dyDescent="0.2">
      <c r="B21" s="142"/>
      <c r="C21" s="35" t="s">
        <v>174</v>
      </c>
      <c r="D21" s="139">
        <v>1</v>
      </c>
      <c r="E21" s="139">
        <v>1</v>
      </c>
      <c r="F21" s="139">
        <v>0.99</v>
      </c>
      <c r="G21" s="139">
        <v>0.99</v>
      </c>
      <c r="H21" s="139">
        <v>1</v>
      </c>
    </row>
    <row r="22" spans="1:8" x14ac:dyDescent="0.2">
      <c r="B22" s="142" t="s">
        <v>1</v>
      </c>
      <c r="C22" s="35" t="s">
        <v>176</v>
      </c>
      <c r="D22" s="139">
        <v>1</v>
      </c>
      <c r="E22" s="139">
        <v>1</v>
      </c>
      <c r="F22" s="139">
        <v>1</v>
      </c>
      <c r="G22" s="139">
        <v>1</v>
      </c>
      <c r="H22" s="139">
        <v>1</v>
      </c>
    </row>
    <row r="23" spans="1:8" x14ac:dyDescent="0.2">
      <c r="B23" s="142"/>
      <c r="C23" s="35" t="s">
        <v>175</v>
      </c>
      <c r="D23" s="139">
        <v>1</v>
      </c>
      <c r="E23" s="139">
        <v>1</v>
      </c>
      <c r="F23" s="139">
        <v>1</v>
      </c>
      <c r="G23" s="139">
        <v>1</v>
      </c>
      <c r="H23" s="139">
        <v>1</v>
      </c>
    </row>
    <row r="24" spans="1:8" x14ac:dyDescent="0.2">
      <c r="B24" s="142"/>
      <c r="C24" s="35" t="s">
        <v>174</v>
      </c>
      <c r="D24" s="139">
        <v>1</v>
      </c>
      <c r="E24" s="139">
        <v>1</v>
      </c>
      <c r="F24" s="139">
        <v>0.99</v>
      </c>
      <c r="G24" s="139">
        <v>0.99</v>
      </c>
      <c r="H24" s="139">
        <v>1</v>
      </c>
    </row>
    <row r="25" spans="1:8" x14ac:dyDescent="0.2">
      <c r="B25" s="142" t="s">
        <v>2</v>
      </c>
      <c r="C25" s="35" t="s">
        <v>176</v>
      </c>
      <c r="D25" s="139">
        <v>1</v>
      </c>
      <c r="E25" s="139">
        <v>1</v>
      </c>
      <c r="F25" s="139">
        <v>1</v>
      </c>
      <c r="G25" s="139">
        <v>1</v>
      </c>
      <c r="H25" s="139">
        <v>1</v>
      </c>
    </row>
    <row r="26" spans="1:8" x14ac:dyDescent="0.2">
      <c r="B26" s="142"/>
      <c r="C26" s="35" t="s">
        <v>175</v>
      </c>
      <c r="D26" s="139">
        <v>1</v>
      </c>
      <c r="E26" s="139">
        <v>1</v>
      </c>
      <c r="F26" s="139">
        <v>1</v>
      </c>
      <c r="G26" s="139">
        <v>1</v>
      </c>
      <c r="H26" s="139">
        <v>1</v>
      </c>
    </row>
    <row r="27" spans="1:8" x14ac:dyDescent="0.2">
      <c r="B27" s="142"/>
      <c r="C27" s="35" t="s">
        <v>174</v>
      </c>
      <c r="D27" s="139">
        <v>1</v>
      </c>
      <c r="E27" s="139">
        <v>1</v>
      </c>
      <c r="F27" s="139">
        <v>0.99</v>
      </c>
      <c r="G27" s="139">
        <v>0.99</v>
      </c>
      <c r="H27" s="139">
        <v>1</v>
      </c>
    </row>
    <row r="28" spans="1:8" x14ac:dyDescent="0.2">
      <c r="B28" s="142" t="s">
        <v>3</v>
      </c>
      <c r="C28" s="35" t="s">
        <v>176</v>
      </c>
      <c r="D28" s="139">
        <v>1</v>
      </c>
      <c r="E28" s="139">
        <v>1</v>
      </c>
      <c r="F28" s="139">
        <v>0.78</v>
      </c>
      <c r="G28" s="139">
        <v>1</v>
      </c>
      <c r="H28" s="139">
        <v>1</v>
      </c>
    </row>
    <row r="29" spans="1:8" x14ac:dyDescent="0.2">
      <c r="B29" s="142"/>
      <c r="C29" s="35" t="s">
        <v>175</v>
      </c>
      <c r="D29" s="139">
        <v>1</v>
      </c>
      <c r="E29" s="139">
        <v>1</v>
      </c>
      <c r="F29" s="139">
        <v>0.78</v>
      </c>
      <c r="G29" s="139">
        <v>1</v>
      </c>
      <c r="H29" s="139">
        <v>1</v>
      </c>
    </row>
    <row r="30" spans="1:8" x14ac:dyDescent="0.2">
      <c r="B30" s="142"/>
      <c r="C30" s="35" t="s">
        <v>174</v>
      </c>
      <c r="D30" s="139">
        <v>1</v>
      </c>
      <c r="E30" s="139">
        <v>1</v>
      </c>
      <c r="F30" s="139">
        <v>0.99</v>
      </c>
      <c r="G30" s="139">
        <v>0.99</v>
      </c>
      <c r="H30" s="139">
        <v>1</v>
      </c>
    </row>
    <row r="31" spans="1:8" x14ac:dyDescent="0.2">
      <c r="B31" s="142" t="s">
        <v>4</v>
      </c>
      <c r="C31" s="35" t="s">
        <v>176</v>
      </c>
      <c r="D31" s="139">
        <v>1</v>
      </c>
      <c r="E31" s="139">
        <v>1</v>
      </c>
      <c r="F31" s="139">
        <v>1</v>
      </c>
      <c r="G31" s="139">
        <v>0.78</v>
      </c>
      <c r="H31" s="139">
        <v>1</v>
      </c>
    </row>
    <row r="32" spans="1:8" x14ac:dyDescent="0.2">
      <c r="B32" s="142"/>
      <c r="C32" s="35" t="s">
        <v>175</v>
      </c>
      <c r="D32" s="139">
        <v>1</v>
      </c>
      <c r="E32" s="139">
        <v>1</v>
      </c>
      <c r="F32" s="139">
        <v>1</v>
      </c>
      <c r="G32" s="139">
        <v>0.78</v>
      </c>
      <c r="H32" s="139">
        <v>1</v>
      </c>
    </row>
    <row r="33" spans="1:8" x14ac:dyDescent="0.2">
      <c r="B33" s="142"/>
      <c r="C33" s="35" t="s">
        <v>174</v>
      </c>
      <c r="D33" s="139">
        <v>1</v>
      </c>
      <c r="E33" s="139">
        <v>1</v>
      </c>
      <c r="F33" s="139">
        <v>1</v>
      </c>
      <c r="G33" s="139">
        <v>0.99</v>
      </c>
      <c r="H33" s="139">
        <v>1</v>
      </c>
    </row>
    <row r="34" spans="1:8" x14ac:dyDescent="0.2">
      <c r="B34" s="101" t="s">
        <v>172</v>
      </c>
      <c r="C34" s="35" t="s">
        <v>174</v>
      </c>
      <c r="D34" s="139">
        <v>1</v>
      </c>
      <c r="E34" s="139">
        <v>1</v>
      </c>
      <c r="F34" s="139">
        <v>0.95</v>
      </c>
      <c r="G34" s="139">
        <v>0.95</v>
      </c>
      <c r="H34" s="139">
        <v>1</v>
      </c>
    </row>
    <row r="35" spans="1:8" x14ac:dyDescent="0.2">
      <c r="D35" s="137"/>
      <c r="E35" s="137"/>
      <c r="F35" s="137"/>
      <c r="G35" s="137"/>
      <c r="H35" s="137"/>
    </row>
    <row r="36" spans="1:8" x14ac:dyDescent="0.2">
      <c r="A36" s="102" t="s">
        <v>222</v>
      </c>
      <c r="B36" s="142" t="s">
        <v>32</v>
      </c>
      <c r="C36" s="35" t="s">
        <v>176</v>
      </c>
      <c r="D36" s="139">
        <v>1</v>
      </c>
      <c r="E36" s="139">
        <v>1</v>
      </c>
      <c r="F36" s="139">
        <v>1</v>
      </c>
      <c r="G36" s="139">
        <v>1</v>
      </c>
      <c r="H36" s="139">
        <v>1</v>
      </c>
    </row>
    <row r="37" spans="1:8" x14ac:dyDescent="0.2">
      <c r="B37" s="142"/>
      <c r="C37" s="35" t="s">
        <v>175</v>
      </c>
      <c r="D37" s="139">
        <v>1</v>
      </c>
      <c r="E37" s="139">
        <v>1</v>
      </c>
      <c r="F37" s="139">
        <v>1</v>
      </c>
      <c r="G37" s="139">
        <v>1</v>
      </c>
      <c r="H37" s="139">
        <v>1</v>
      </c>
    </row>
    <row r="38" spans="1:8" x14ac:dyDescent="0.2">
      <c r="B38" s="142"/>
      <c r="C38" s="35" t="s">
        <v>174</v>
      </c>
      <c r="D38" s="139">
        <v>1</v>
      </c>
      <c r="E38" s="139">
        <v>1</v>
      </c>
      <c r="F38" s="139">
        <v>1</v>
      </c>
      <c r="G38" s="139">
        <v>1</v>
      </c>
      <c r="H38" s="139">
        <v>1</v>
      </c>
    </row>
    <row r="39" spans="1:8" x14ac:dyDescent="0.2">
      <c r="B39" s="142" t="s">
        <v>1</v>
      </c>
      <c r="C39" s="35" t="s">
        <v>176</v>
      </c>
      <c r="D39" s="139">
        <v>1</v>
      </c>
      <c r="E39" s="139">
        <v>1</v>
      </c>
      <c r="F39" s="139">
        <v>1</v>
      </c>
      <c r="G39" s="139">
        <v>1</v>
      </c>
      <c r="H39" s="139">
        <v>1</v>
      </c>
    </row>
    <row r="40" spans="1:8" x14ac:dyDescent="0.2">
      <c r="B40" s="142"/>
      <c r="C40" s="35" t="s">
        <v>175</v>
      </c>
      <c r="D40" s="139">
        <v>1</v>
      </c>
      <c r="E40" s="139">
        <v>1</v>
      </c>
      <c r="F40" s="139">
        <v>1</v>
      </c>
      <c r="G40" s="139">
        <v>1</v>
      </c>
      <c r="H40" s="139">
        <v>1</v>
      </c>
    </row>
    <row r="41" spans="1:8" x14ac:dyDescent="0.2">
      <c r="B41" s="142"/>
      <c r="C41" s="35" t="s">
        <v>174</v>
      </c>
      <c r="D41" s="139">
        <v>1</v>
      </c>
      <c r="E41" s="139">
        <v>1</v>
      </c>
      <c r="F41" s="139">
        <v>1</v>
      </c>
      <c r="G41" s="139">
        <v>1</v>
      </c>
      <c r="H41" s="139">
        <v>1</v>
      </c>
    </row>
    <row r="42" spans="1:8" x14ac:dyDescent="0.2">
      <c r="B42" s="142" t="s">
        <v>2</v>
      </c>
      <c r="C42" s="35" t="s">
        <v>176</v>
      </c>
      <c r="D42" s="139">
        <v>1</v>
      </c>
      <c r="E42" s="139">
        <v>1</v>
      </c>
      <c r="F42" s="139">
        <v>1</v>
      </c>
      <c r="G42" s="139">
        <v>1</v>
      </c>
      <c r="H42" s="139">
        <v>1</v>
      </c>
    </row>
    <row r="43" spans="1:8" x14ac:dyDescent="0.2">
      <c r="B43" s="142"/>
      <c r="C43" s="35" t="s">
        <v>175</v>
      </c>
      <c r="D43" s="139">
        <v>1</v>
      </c>
      <c r="E43" s="139">
        <v>1</v>
      </c>
      <c r="F43" s="139">
        <v>1</v>
      </c>
      <c r="G43" s="139">
        <v>1</v>
      </c>
      <c r="H43" s="139">
        <v>1</v>
      </c>
    </row>
    <row r="44" spans="1:8" x14ac:dyDescent="0.2">
      <c r="B44" s="142"/>
      <c r="C44" s="35" t="s">
        <v>174</v>
      </c>
      <c r="D44" s="139">
        <v>1</v>
      </c>
      <c r="E44" s="139">
        <v>1</v>
      </c>
      <c r="F44" s="139">
        <v>1</v>
      </c>
      <c r="G44" s="139">
        <v>1</v>
      </c>
      <c r="H44" s="139">
        <v>1</v>
      </c>
    </row>
    <row r="45" spans="1:8" x14ac:dyDescent="0.2">
      <c r="B45" s="142" t="s">
        <v>3</v>
      </c>
      <c r="C45" s="35" t="s">
        <v>176</v>
      </c>
      <c r="D45" s="139">
        <v>1</v>
      </c>
      <c r="E45" s="139">
        <v>1</v>
      </c>
      <c r="F45" s="139">
        <v>1.82</v>
      </c>
      <c r="G45" s="139">
        <v>1</v>
      </c>
      <c r="H45" s="139">
        <v>1</v>
      </c>
    </row>
    <row r="46" spans="1:8" x14ac:dyDescent="0.2">
      <c r="B46" s="142"/>
      <c r="C46" s="35" t="s">
        <v>175</v>
      </c>
      <c r="D46" s="139">
        <v>1</v>
      </c>
      <c r="E46" s="139">
        <v>1</v>
      </c>
      <c r="F46" s="139">
        <v>1.82</v>
      </c>
      <c r="G46" s="139">
        <v>1</v>
      </c>
      <c r="H46" s="139">
        <v>1</v>
      </c>
    </row>
    <row r="47" spans="1:8" x14ac:dyDescent="0.2">
      <c r="B47" s="142"/>
      <c r="C47" s="35" t="s">
        <v>174</v>
      </c>
      <c r="D47" s="139">
        <v>1</v>
      </c>
      <c r="E47" s="139">
        <v>1</v>
      </c>
      <c r="F47" s="139">
        <v>1</v>
      </c>
      <c r="G47" s="139">
        <v>1</v>
      </c>
      <c r="H47" s="139">
        <v>1</v>
      </c>
    </row>
    <row r="48" spans="1:8" x14ac:dyDescent="0.2">
      <c r="B48" s="142" t="s">
        <v>4</v>
      </c>
      <c r="C48" s="35" t="s">
        <v>176</v>
      </c>
      <c r="D48" s="139">
        <v>1</v>
      </c>
      <c r="E48" s="139">
        <v>1</v>
      </c>
      <c r="F48" s="139">
        <v>1</v>
      </c>
      <c r="G48" s="139">
        <v>1.82</v>
      </c>
      <c r="H48" s="139">
        <v>1</v>
      </c>
    </row>
    <row r="49" spans="2:8" x14ac:dyDescent="0.2">
      <c r="B49" s="142"/>
      <c r="C49" s="35" t="s">
        <v>175</v>
      </c>
      <c r="D49" s="139">
        <v>1</v>
      </c>
      <c r="E49" s="139">
        <v>1</v>
      </c>
      <c r="F49" s="139">
        <v>1</v>
      </c>
      <c r="G49" s="139">
        <v>1.82</v>
      </c>
      <c r="H49" s="139">
        <v>1</v>
      </c>
    </row>
    <row r="50" spans="2:8" x14ac:dyDescent="0.2">
      <c r="B50" s="142"/>
      <c r="C50" s="35" t="s">
        <v>174</v>
      </c>
      <c r="D50" s="139">
        <v>1</v>
      </c>
      <c r="E50" s="139">
        <v>1</v>
      </c>
      <c r="F50" s="139">
        <v>1</v>
      </c>
      <c r="G50" s="139">
        <v>1</v>
      </c>
      <c r="H50" s="139">
        <v>1</v>
      </c>
    </row>
    <row r="51" spans="2:8" x14ac:dyDescent="0.2">
      <c r="B51" s="103" t="s">
        <v>172</v>
      </c>
      <c r="C51" s="35" t="s">
        <v>174</v>
      </c>
      <c r="D51" s="139">
        <v>1.05</v>
      </c>
      <c r="E51" s="139">
        <v>1.05</v>
      </c>
      <c r="F51" s="139">
        <v>1.05</v>
      </c>
      <c r="G51" s="139">
        <v>1.05</v>
      </c>
      <c r="H51" s="139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G28"/>
  <sheetViews>
    <sheetView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35" customWidth="1"/>
    <col min="2" max="2" width="34.140625" style="35" customWidth="1"/>
    <col min="3" max="3" width="11.28515625" style="35" bestFit="1" customWidth="1"/>
    <col min="4" max="4" width="11.85546875" style="35" customWidth="1"/>
    <col min="5" max="6" width="15" style="35" customWidth="1"/>
    <col min="7" max="16384" width="16.140625" style="35"/>
  </cols>
  <sheetData>
    <row r="1" spans="1:7" s="105" customFormat="1" ht="18.75" customHeight="1" x14ac:dyDescent="0.2">
      <c r="A1" s="104" t="s">
        <v>223</v>
      </c>
    </row>
    <row r="2" spans="1:7" ht="15.75" customHeight="1" x14ac:dyDescent="0.2">
      <c r="B2" s="106"/>
      <c r="C2" s="107" t="s">
        <v>26</v>
      </c>
      <c r="D2" s="108" t="s">
        <v>12</v>
      </c>
      <c r="E2" s="108" t="s">
        <v>11</v>
      </c>
      <c r="F2" s="108" t="s">
        <v>9</v>
      </c>
    </row>
    <row r="3" spans="1:7" ht="15.75" customHeight="1" x14ac:dyDescent="0.2">
      <c r="A3" s="40" t="s">
        <v>224</v>
      </c>
      <c r="B3" s="109"/>
      <c r="C3" s="110"/>
      <c r="D3" s="111"/>
      <c r="E3" s="111"/>
      <c r="F3" s="111"/>
    </row>
    <row r="4" spans="1:7" ht="15.75" customHeight="1" x14ac:dyDescent="0.2">
      <c r="B4" s="112" t="s">
        <v>75</v>
      </c>
      <c r="C4" s="140">
        <v>1</v>
      </c>
      <c r="D4" s="141">
        <v>1</v>
      </c>
      <c r="E4" s="141">
        <v>1</v>
      </c>
      <c r="F4" s="141">
        <v>1</v>
      </c>
    </row>
    <row r="5" spans="1:7" ht="15.75" customHeight="1" x14ac:dyDescent="0.2">
      <c r="B5" s="112" t="s">
        <v>76</v>
      </c>
      <c r="C5" s="140">
        <v>1</v>
      </c>
      <c r="D5" s="141">
        <v>1.41</v>
      </c>
      <c r="E5" s="141">
        <v>1.49</v>
      </c>
      <c r="F5" s="141">
        <v>3.03</v>
      </c>
    </row>
    <row r="6" spans="1:7" ht="15.75" customHeight="1" x14ac:dyDescent="0.2">
      <c r="B6" s="112" t="s">
        <v>77</v>
      </c>
      <c r="C6" s="140">
        <v>1</v>
      </c>
      <c r="D6" s="141">
        <v>1.18</v>
      </c>
      <c r="E6" s="141">
        <v>1.1000000000000001</v>
      </c>
      <c r="F6" s="141">
        <v>1.77</v>
      </c>
    </row>
    <row r="7" spans="1:7" ht="15.75" customHeight="1" x14ac:dyDescent="0.2">
      <c r="B7" s="112" t="s">
        <v>78</v>
      </c>
      <c r="C7" s="140">
        <v>1</v>
      </c>
      <c r="D7" s="141">
        <v>1</v>
      </c>
      <c r="E7" s="141">
        <v>1</v>
      </c>
      <c r="F7" s="141">
        <v>1</v>
      </c>
    </row>
    <row r="8" spans="1:7" ht="15.75" customHeight="1" x14ac:dyDescent="0.2">
      <c r="C8" s="113"/>
      <c r="D8" s="100"/>
      <c r="E8" s="100"/>
      <c r="F8" s="100"/>
    </row>
    <row r="9" spans="1:7" ht="15.75" customHeight="1" x14ac:dyDescent="0.2">
      <c r="A9" s="40" t="s">
        <v>225</v>
      </c>
      <c r="C9" s="140">
        <v>1</v>
      </c>
      <c r="D9" s="141">
        <v>1.53</v>
      </c>
      <c r="E9" s="141">
        <v>1.32</v>
      </c>
      <c r="F9" s="141">
        <v>1.53</v>
      </c>
      <c r="G9" s="114"/>
    </row>
    <row r="10" spans="1:7" ht="15.75" customHeight="1" x14ac:dyDescent="0.2">
      <c r="C10" s="113"/>
      <c r="D10" s="100"/>
      <c r="E10" s="100"/>
      <c r="F10" s="100"/>
      <c r="G10" s="114"/>
    </row>
    <row r="11" spans="1:7" s="105" customFormat="1" ht="15" customHeight="1" x14ac:dyDescent="0.2">
      <c r="A11" s="104" t="s">
        <v>226</v>
      </c>
      <c r="C11" s="115"/>
      <c r="D11" s="116"/>
      <c r="E11" s="116"/>
      <c r="F11" s="116"/>
      <c r="G11" s="117"/>
    </row>
    <row r="12" spans="1:7" ht="15.75" customHeight="1" x14ac:dyDescent="0.2">
      <c r="A12" s="40" t="s">
        <v>227</v>
      </c>
      <c r="C12" s="113"/>
      <c r="D12" s="100"/>
      <c r="E12" s="100"/>
      <c r="F12" s="100"/>
      <c r="G12" s="114"/>
    </row>
    <row r="13" spans="1:7" ht="15.75" customHeight="1" x14ac:dyDescent="0.2">
      <c r="B13" s="118" t="s">
        <v>228</v>
      </c>
      <c r="C13" s="140">
        <v>1</v>
      </c>
      <c r="D13" s="141">
        <v>5</v>
      </c>
      <c r="E13" s="141">
        <v>6.4</v>
      </c>
      <c r="F13" s="141">
        <v>46.5</v>
      </c>
      <c r="G13" s="114"/>
    </row>
    <row r="14" spans="1:7" ht="15.75" customHeight="1" x14ac:dyDescent="0.2">
      <c r="B14" s="118" t="s">
        <v>229</v>
      </c>
      <c r="C14" s="140">
        <v>1</v>
      </c>
      <c r="D14" s="141">
        <v>2.52</v>
      </c>
      <c r="E14" s="141">
        <v>1.96</v>
      </c>
      <c r="F14" s="141">
        <v>4.1900000000000004</v>
      </c>
      <c r="G14" s="114"/>
    </row>
    <row r="15" spans="1:7" ht="15.75" customHeight="1" x14ac:dyDescent="0.2">
      <c r="B15" s="118" t="s">
        <v>230</v>
      </c>
      <c r="C15" s="140">
        <v>1</v>
      </c>
      <c r="D15" s="141">
        <v>2.52</v>
      </c>
      <c r="E15" s="141">
        <v>1.96</v>
      </c>
      <c r="F15" s="141">
        <v>4.1900000000000004</v>
      </c>
      <c r="G15" s="114"/>
    </row>
    <row r="16" spans="1:7" ht="15.75" customHeight="1" x14ac:dyDescent="0.2">
      <c r="A16" s="40"/>
      <c r="B16" s="118"/>
      <c r="C16" s="119"/>
      <c r="D16" s="100"/>
      <c r="E16" s="100"/>
      <c r="F16" s="100"/>
      <c r="G16" s="114"/>
    </row>
    <row r="17" spans="1:7" ht="15.75" customHeight="1" x14ac:dyDescent="0.2">
      <c r="A17" s="40" t="s">
        <v>231</v>
      </c>
      <c r="B17" s="109"/>
      <c r="C17" s="120"/>
      <c r="D17" s="121"/>
      <c r="E17" s="121"/>
      <c r="F17" s="121"/>
      <c r="G17" s="114"/>
    </row>
    <row r="18" spans="1:7" ht="15.75" customHeight="1" x14ac:dyDescent="0.2">
      <c r="B18" s="122" t="s">
        <v>73</v>
      </c>
      <c r="C18" s="140">
        <v>1</v>
      </c>
      <c r="D18" s="141">
        <v>1</v>
      </c>
      <c r="E18" s="141">
        <v>1</v>
      </c>
      <c r="F18" s="141">
        <v>1</v>
      </c>
      <c r="G18" s="114"/>
    </row>
    <row r="19" spans="1:7" ht="15.75" customHeight="1" x14ac:dyDescent="0.2">
      <c r="B19" s="122" t="s">
        <v>7</v>
      </c>
      <c r="C19" s="140">
        <v>1</v>
      </c>
      <c r="D19" s="141">
        <v>2.0699999999999998</v>
      </c>
      <c r="E19" s="141">
        <v>8.02</v>
      </c>
      <c r="F19" s="141">
        <v>11.54</v>
      </c>
      <c r="G19" s="114"/>
    </row>
    <row r="20" spans="1:7" ht="15.75" customHeight="1" x14ac:dyDescent="0.2">
      <c r="B20" s="122" t="s">
        <v>8</v>
      </c>
      <c r="C20" s="140">
        <v>1</v>
      </c>
      <c r="D20" s="141">
        <v>2.0699999999999998</v>
      </c>
      <c r="E20" s="141">
        <v>8.02</v>
      </c>
      <c r="F20" s="141">
        <v>11.54</v>
      </c>
      <c r="G20" s="114"/>
    </row>
    <row r="21" spans="1:7" ht="15.75" customHeight="1" x14ac:dyDescent="0.2">
      <c r="B21" s="122" t="s">
        <v>10</v>
      </c>
      <c r="C21" s="140">
        <v>1</v>
      </c>
      <c r="D21" s="141">
        <v>2.0699999999999998</v>
      </c>
      <c r="E21" s="141">
        <v>8.02</v>
      </c>
      <c r="F21" s="141">
        <v>11.54</v>
      </c>
      <c r="G21" s="114"/>
    </row>
    <row r="22" spans="1:7" ht="15.75" customHeight="1" x14ac:dyDescent="0.2">
      <c r="B22" s="122" t="s">
        <v>13</v>
      </c>
      <c r="C22" s="140">
        <v>1</v>
      </c>
      <c r="D22" s="141">
        <v>1</v>
      </c>
      <c r="E22" s="141">
        <v>999.99</v>
      </c>
      <c r="F22" s="141">
        <v>999.99</v>
      </c>
    </row>
    <row r="23" spans="1:7" ht="15.75" customHeight="1" x14ac:dyDescent="0.2">
      <c r="B23" s="122" t="s">
        <v>14</v>
      </c>
      <c r="C23" s="140">
        <v>1</v>
      </c>
      <c r="D23" s="141">
        <v>1</v>
      </c>
      <c r="E23" s="141">
        <v>1</v>
      </c>
      <c r="F23" s="141">
        <v>1</v>
      </c>
    </row>
    <row r="24" spans="1:7" ht="15.75" customHeight="1" x14ac:dyDescent="0.2">
      <c r="B24" s="122" t="s">
        <v>27</v>
      </c>
      <c r="C24" s="140">
        <v>1</v>
      </c>
      <c r="D24" s="141">
        <v>1</v>
      </c>
      <c r="E24" s="141">
        <v>1</v>
      </c>
      <c r="F24" s="141">
        <v>1</v>
      </c>
    </row>
    <row r="25" spans="1:7" ht="15.75" customHeight="1" x14ac:dyDescent="0.2">
      <c r="B25" s="122" t="s">
        <v>15</v>
      </c>
      <c r="C25" s="140">
        <v>1</v>
      </c>
      <c r="D25" s="141">
        <v>1</v>
      </c>
      <c r="E25" s="141">
        <v>1</v>
      </c>
      <c r="F25" s="141">
        <v>1</v>
      </c>
    </row>
    <row r="26" spans="1:7" ht="15.75" customHeight="1" x14ac:dyDescent="0.2">
      <c r="B26" s="118"/>
    </row>
    <row r="28" spans="1:7" ht="15.75" customHeight="1" x14ac:dyDescent="0.2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P111"/>
  <sheetViews>
    <sheetView topLeftCell="A75" zoomScaleNormal="100" workbookViewId="0">
      <selection activeCell="F8" sqref="F8"/>
    </sheetView>
  </sheetViews>
  <sheetFormatPr defaultColWidth="12.7109375" defaultRowHeight="12.75" x14ac:dyDescent="0.2"/>
  <cols>
    <col min="1" max="1" width="27.28515625" style="35" customWidth="1"/>
    <col min="2" max="2" width="26.85546875" style="35" customWidth="1"/>
    <col min="3" max="3" width="18.28515625" style="35" customWidth="1"/>
    <col min="4" max="8" width="14.7109375" style="35" customWidth="1"/>
    <col min="9" max="12" width="15.28515625" style="35" bestFit="1" customWidth="1"/>
    <col min="13" max="16" width="16.85546875" style="35" bestFit="1" customWidth="1"/>
    <col min="17" max="16384" width="12.7109375" style="35"/>
  </cols>
  <sheetData>
    <row r="1" spans="1:16" s="105" customFormat="1" x14ac:dyDescent="0.2">
      <c r="A1" s="104" t="s">
        <v>232</v>
      </c>
    </row>
    <row r="2" spans="1:16" x14ac:dyDescent="0.2">
      <c r="A2" s="123" t="s">
        <v>213</v>
      </c>
      <c r="B2" s="124" t="s">
        <v>233</v>
      </c>
      <c r="C2" s="124" t="s">
        <v>234</v>
      </c>
      <c r="D2" s="108" t="s">
        <v>1</v>
      </c>
      <c r="E2" s="108" t="s">
        <v>2</v>
      </c>
      <c r="F2" s="108" t="s">
        <v>3</v>
      </c>
      <c r="G2" s="108" t="s">
        <v>4</v>
      </c>
      <c r="H2" s="108" t="s">
        <v>5</v>
      </c>
      <c r="I2" s="125"/>
      <c r="J2" s="125"/>
      <c r="K2" s="125"/>
      <c r="L2" s="125"/>
      <c r="M2" s="125"/>
      <c r="N2" s="125"/>
      <c r="O2" s="125"/>
      <c r="P2" s="125"/>
    </row>
    <row r="3" spans="1:16" x14ac:dyDescent="0.2">
      <c r="A3" s="40"/>
      <c r="B3" s="35" t="s">
        <v>71</v>
      </c>
      <c r="C3" s="43" t="s">
        <v>235</v>
      </c>
      <c r="D3" s="140">
        <v>1</v>
      </c>
      <c r="E3" s="140">
        <v>1</v>
      </c>
      <c r="F3" s="140">
        <v>1</v>
      </c>
      <c r="G3" s="140">
        <v>1</v>
      </c>
      <c r="H3" s="140">
        <v>1</v>
      </c>
      <c r="I3" s="123"/>
      <c r="J3" s="123"/>
      <c r="K3" s="123"/>
      <c r="L3" s="123"/>
      <c r="M3" s="123"/>
      <c r="N3" s="123"/>
      <c r="O3" s="123"/>
      <c r="P3" s="123"/>
    </row>
    <row r="4" spans="1:16" x14ac:dyDescent="0.2">
      <c r="C4" s="43" t="s">
        <v>236</v>
      </c>
      <c r="D4" s="141">
        <v>1</v>
      </c>
      <c r="E4" s="141">
        <v>1.67</v>
      </c>
      <c r="F4" s="141">
        <v>1.67</v>
      </c>
      <c r="G4" s="141">
        <v>1.67</v>
      </c>
      <c r="H4" s="141">
        <v>1.67</v>
      </c>
      <c r="I4" s="123"/>
      <c r="J4" s="123"/>
      <c r="K4" s="123"/>
      <c r="L4" s="123"/>
      <c r="M4" s="123"/>
      <c r="N4" s="123"/>
      <c r="O4" s="123"/>
      <c r="P4" s="123"/>
    </row>
    <row r="5" spans="1:16" x14ac:dyDescent="0.2">
      <c r="C5" s="43" t="s">
        <v>237</v>
      </c>
      <c r="D5" s="141">
        <v>1</v>
      </c>
      <c r="E5" s="141">
        <v>2.38</v>
      </c>
      <c r="F5" s="141">
        <v>2.38</v>
      </c>
      <c r="G5" s="141">
        <v>2.38</v>
      </c>
      <c r="H5" s="141">
        <v>2.38</v>
      </c>
      <c r="I5" s="123"/>
      <c r="J5" s="123"/>
      <c r="K5" s="123"/>
      <c r="L5" s="123"/>
      <c r="M5" s="123"/>
      <c r="N5" s="123"/>
      <c r="O5" s="123"/>
      <c r="P5" s="123"/>
    </row>
    <row r="6" spans="1:16" x14ac:dyDescent="0.2">
      <c r="C6" s="43" t="s">
        <v>238</v>
      </c>
      <c r="D6" s="141">
        <v>1</v>
      </c>
      <c r="E6" s="141">
        <v>6.33</v>
      </c>
      <c r="F6" s="141">
        <v>6.33</v>
      </c>
      <c r="G6" s="141">
        <v>6.33</v>
      </c>
      <c r="H6" s="141">
        <v>6.33</v>
      </c>
      <c r="I6" s="123"/>
      <c r="J6" s="123"/>
      <c r="K6" s="123"/>
      <c r="L6" s="123"/>
      <c r="M6" s="123"/>
      <c r="N6" s="123"/>
      <c r="O6" s="123"/>
      <c r="P6" s="123"/>
    </row>
    <row r="7" spans="1:16" x14ac:dyDescent="0.2">
      <c r="B7" s="35" t="s">
        <v>16</v>
      </c>
      <c r="C7" s="43" t="s">
        <v>235</v>
      </c>
      <c r="D7" s="140">
        <v>1</v>
      </c>
      <c r="E7" s="140">
        <v>1</v>
      </c>
      <c r="F7" s="140">
        <v>1</v>
      </c>
      <c r="G7" s="140">
        <v>1</v>
      </c>
      <c r="H7" s="140">
        <v>1</v>
      </c>
      <c r="I7" s="123"/>
      <c r="J7" s="123"/>
      <c r="K7" s="123"/>
      <c r="L7" s="123"/>
      <c r="M7" s="123"/>
      <c r="N7" s="123"/>
      <c r="O7" s="123"/>
      <c r="P7" s="123"/>
    </row>
    <row r="8" spans="1:16" x14ac:dyDescent="0.2">
      <c r="C8" s="43" t="s">
        <v>236</v>
      </c>
      <c r="D8" s="141">
        <v>1</v>
      </c>
      <c r="E8" s="141">
        <v>1.55</v>
      </c>
      <c r="F8" s="141">
        <v>1.55</v>
      </c>
      <c r="G8" s="141">
        <v>1.55</v>
      </c>
      <c r="H8" s="141">
        <v>1.55</v>
      </c>
      <c r="I8" s="123"/>
      <c r="J8" s="123"/>
      <c r="K8" s="123"/>
      <c r="L8" s="123"/>
      <c r="M8" s="123"/>
      <c r="N8" s="123"/>
      <c r="O8" s="123"/>
      <c r="P8" s="123"/>
    </row>
    <row r="9" spans="1:16" x14ac:dyDescent="0.2">
      <c r="C9" s="43" t="s">
        <v>237</v>
      </c>
      <c r="D9" s="141">
        <v>1</v>
      </c>
      <c r="E9" s="141">
        <v>2.1800000000000002</v>
      </c>
      <c r="F9" s="141">
        <v>2.1800000000000002</v>
      </c>
      <c r="G9" s="141">
        <v>2.1800000000000002</v>
      </c>
      <c r="H9" s="141">
        <v>2.1800000000000002</v>
      </c>
      <c r="I9" s="123"/>
      <c r="J9" s="123"/>
      <c r="K9" s="123"/>
      <c r="L9" s="123"/>
      <c r="M9" s="123"/>
      <c r="N9" s="123"/>
      <c r="O9" s="123"/>
      <c r="P9" s="123"/>
    </row>
    <row r="10" spans="1:16" x14ac:dyDescent="0.2">
      <c r="C10" s="43" t="s">
        <v>238</v>
      </c>
      <c r="D10" s="141">
        <v>1</v>
      </c>
      <c r="E10" s="141">
        <v>6.39</v>
      </c>
      <c r="F10" s="141">
        <v>6.39</v>
      </c>
      <c r="G10" s="141">
        <v>6.39</v>
      </c>
      <c r="H10" s="141">
        <v>6.39</v>
      </c>
      <c r="I10" s="123"/>
      <c r="J10" s="123"/>
      <c r="K10" s="123"/>
      <c r="L10" s="123"/>
      <c r="M10" s="123"/>
      <c r="N10" s="123"/>
      <c r="O10" s="123"/>
      <c r="P10" s="123"/>
    </row>
    <row r="11" spans="1:16" x14ac:dyDescent="0.2">
      <c r="B11" s="35" t="s">
        <v>18</v>
      </c>
      <c r="C11" s="43" t="s">
        <v>235</v>
      </c>
      <c r="D11" s="140">
        <v>1</v>
      </c>
      <c r="E11" s="140">
        <v>1</v>
      </c>
      <c r="F11" s="140">
        <v>1</v>
      </c>
      <c r="G11" s="140">
        <v>1</v>
      </c>
      <c r="H11" s="140">
        <v>1</v>
      </c>
      <c r="I11" s="123"/>
      <c r="J11" s="123"/>
      <c r="K11" s="123"/>
      <c r="L11" s="123"/>
      <c r="M11" s="123"/>
      <c r="N11" s="123"/>
      <c r="O11" s="123"/>
      <c r="P11" s="123"/>
    </row>
    <row r="12" spans="1:16" x14ac:dyDescent="0.2">
      <c r="C12" s="43" t="s">
        <v>236</v>
      </c>
      <c r="D12" s="141">
        <v>1</v>
      </c>
      <c r="E12" s="141">
        <v>1</v>
      </c>
      <c r="F12" s="141">
        <v>1</v>
      </c>
      <c r="G12" s="141">
        <v>1</v>
      </c>
      <c r="H12" s="141">
        <v>1</v>
      </c>
      <c r="I12" s="123"/>
      <c r="J12" s="123"/>
      <c r="K12" s="123"/>
      <c r="L12" s="123"/>
      <c r="M12" s="123"/>
      <c r="N12" s="123"/>
      <c r="O12" s="123"/>
      <c r="P12" s="123"/>
    </row>
    <row r="13" spans="1:16" x14ac:dyDescent="0.2">
      <c r="C13" s="43" t="s">
        <v>237</v>
      </c>
      <c r="D13" s="141">
        <v>1</v>
      </c>
      <c r="E13" s="141">
        <v>2.79</v>
      </c>
      <c r="F13" s="141">
        <v>2.79</v>
      </c>
      <c r="G13" s="141">
        <v>2.79</v>
      </c>
      <c r="H13" s="141">
        <v>2.79</v>
      </c>
      <c r="I13" s="123"/>
      <c r="J13" s="123"/>
      <c r="K13" s="123"/>
      <c r="L13" s="123"/>
      <c r="M13" s="123"/>
      <c r="N13" s="123"/>
      <c r="O13" s="123"/>
      <c r="P13" s="123"/>
    </row>
    <row r="14" spans="1:16" x14ac:dyDescent="0.2">
      <c r="C14" s="43" t="s">
        <v>238</v>
      </c>
      <c r="D14" s="141">
        <v>1</v>
      </c>
      <c r="E14" s="141">
        <v>6.01</v>
      </c>
      <c r="F14" s="141">
        <v>6.01</v>
      </c>
      <c r="G14" s="141">
        <v>6.01</v>
      </c>
      <c r="H14" s="141">
        <v>6.01</v>
      </c>
      <c r="I14" s="123"/>
      <c r="J14" s="123"/>
      <c r="K14" s="123"/>
      <c r="L14" s="123"/>
      <c r="M14" s="123"/>
      <c r="N14" s="123"/>
      <c r="O14" s="123"/>
      <c r="P14" s="123"/>
    </row>
    <row r="15" spans="1:16" x14ac:dyDescent="0.2">
      <c r="B15" s="35" t="s">
        <v>19</v>
      </c>
      <c r="C15" s="43" t="s">
        <v>235</v>
      </c>
      <c r="D15" s="140">
        <v>1</v>
      </c>
      <c r="E15" s="140">
        <v>1</v>
      </c>
      <c r="F15" s="140">
        <v>1</v>
      </c>
      <c r="G15" s="140">
        <v>1</v>
      </c>
      <c r="H15" s="140">
        <v>1</v>
      </c>
      <c r="I15" s="123"/>
      <c r="J15" s="123"/>
      <c r="K15" s="123"/>
      <c r="L15" s="123"/>
      <c r="M15" s="123"/>
      <c r="N15" s="123"/>
      <c r="O15" s="123"/>
      <c r="P15" s="123"/>
    </row>
    <row r="16" spans="1:16" x14ac:dyDescent="0.2">
      <c r="C16" s="43" t="s">
        <v>236</v>
      </c>
      <c r="D16" s="141">
        <v>1</v>
      </c>
      <c r="E16" s="141">
        <v>1</v>
      </c>
      <c r="F16" s="141">
        <v>1</v>
      </c>
      <c r="G16" s="141">
        <v>1</v>
      </c>
      <c r="H16" s="141">
        <v>1</v>
      </c>
      <c r="I16" s="123"/>
      <c r="J16" s="123"/>
      <c r="K16" s="123"/>
      <c r="L16" s="123"/>
      <c r="M16" s="123"/>
      <c r="N16" s="123"/>
      <c r="O16" s="123"/>
      <c r="P16" s="123"/>
    </row>
    <row r="17" spans="1:16" x14ac:dyDescent="0.2">
      <c r="C17" s="43" t="s">
        <v>237</v>
      </c>
      <c r="D17" s="141">
        <v>1</v>
      </c>
      <c r="E17" s="141">
        <v>1</v>
      </c>
      <c r="F17" s="141">
        <v>1</v>
      </c>
      <c r="G17" s="141">
        <v>1</v>
      </c>
      <c r="H17" s="141">
        <v>1</v>
      </c>
      <c r="I17" s="123"/>
      <c r="J17" s="123"/>
      <c r="K17" s="123"/>
      <c r="L17" s="123"/>
      <c r="M17" s="123"/>
      <c r="N17" s="123"/>
      <c r="O17" s="123"/>
      <c r="P17" s="123"/>
    </row>
    <row r="18" spans="1:16" ht="13.9" customHeight="1" x14ac:dyDescent="0.2">
      <c r="C18" s="43" t="s">
        <v>238</v>
      </c>
      <c r="D18" s="141">
        <v>1</v>
      </c>
      <c r="E18" s="141">
        <v>1</v>
      </c>
      <c r="F18" s="141">
        <v>1</v>
      </c>
      <c r="G18" s="141">
        <v>1</v>
      </c>
      <c r="H18" s="141">
        <v>1</v>
      </c>
      <c r="I18" s="123"/>
      <c r="J18" s="123"/>
      <c r="K18" s="123"/>
      <c r="L18" s="123"/>
      <c r="M18" s="123"/>
      <c r="N18" s="123"/>
      <c r="O18" s="123"/>
      <c r="P18" s="123"/>
    </row>
    <row r="19" spans="1:16" x14ac:dyDescent="0.2">
      <c r="B19" s="36" t="s">
        <v>17</v>
      </c>
      <c r="C19" s="43" t="s">
        <v>235</v>
      </c>
      <c r="D19" s="140">
        <v>1</v>
      </c>
      <c r="E19" s="140">
        <v>1</v>
      </c>
      <c r="F19" s="140">
        <v>1</v>
      </c>
      <c r="G19" s="140">
        <v>1</v>
      </c>
      <c r="H19" s="140">
        <v>1</v>
      </c>
      <c r="I19" s="123"/>
      <c r="J19" s="123"/>
      <c r="K19" s="123"/>
      <c r="L19" s="123"/>
      <c r="M19" s="123"/>
      <c r="N19" s="123"/>
      <c r="O19" s="123"/>
      <c r="P19" s="123"/>
    </row>
    <row r="20" spans="1:16" x14ac:dyDescent="0.2">
      <c r="C20" s="43" t="s">
        <v>236</v>
      </c>
      <c r="D20" s="141">
        <v>1</v>
      </c>
      <c r="E20" s="141">
        <v>1</v>
      </c>
      <c r="F20" s="141">
        <v>1</v>
      </c>
      <c r="G20" s="141">
        <v>1</v>
      </c>
      <c r="H20" s="141">
        <v>1</v>
      </c>
      <c r="I20" s="123"/>
      <c r="J20" s="123"/>
      <c r="K20" s="123"/>
      <c r="L20" s="123"/>
      <c r="M20" s="123"/>
      <c r="N20" s="123"/>
      <c r="O20" s="123"/>
      <c r="P20" s="123"/>
    </row>
    <row r="21" spans="1:16" x14ac:dyDescent="0.2">
      <c r="C21" s="43" t="s">
        <v>237</v>
      </c>
      <c r="D21" s="141">
        <v>1</v>
      </c>
      <c r="E21" s="141">
        <v>1.86</v>
      </c>
      <c r="F21" s="141">
        <v>1.86</v>
      </c>
      <c r="G21" s="141">
        <v>1.86</v>
      </c>
      <c r="H21" s="141">
        <v>1.86</v>
      </c>
      <c r="I21" s="123"/>
      <c r="J21" s="123"/>
      <c r="K21" s="123"/>
      <c r="L21" s="123"/>
      <c r="M21" s="123"/>
      <c r="N21" s="123"/>
      <c r="O21" s="123"/>
      <c r="P21" s="123"/>
    </row>
    <row r="22" spans="1:16" x14ac:dyDescent="0.2">
      <c r="C22" s="43" t="s">
        <v>238</v>
      </c>
      <c r="D22" s="141">
        <v>1</v>
      </c>
      <c r="E22" s="141">
        <v>3.01</v>
      </c>
      <c r="F22" s="141">
        <v>3.01</v>
      </c>
      <c r="G22" s="141">
        <v>3.01</v>
      </c>
      <c r="H22" s="141">
        <v>3.01</v>
      </c>
      <c r="I22" s="123"/>
      <c r="J22" s="123"/>
      <c r="K22" s="123"/>
      <c r="L22" s="123"/>
      <c r="M22" s="123"/>
      <c r="N22" s="123"/>
      <c r="O22" s="123"/>
      <c r="P22" s="123"/>
    </row>
    <row r="23" spans="1:16" x14ac:dyDescent="0.2">
      <c r="B23" s="36" t="s">
        <v>23</v>
      </c>
      <c r="C23" s="43" t="s">
        <v>235</v>
      </c>
      <c r="D23" s="140">
        <v>1</v>
      </c>
      <c r="E23" s="140">
        <v>1</v>
      </c>
      <c r="F23" s="140">
        <v>1</v>
      </c>
      <c r="G23" s="140">
        <v>1</v>
      </c>
      <c r="H23" s="140">
        <v>1</v>
      </c>
      <c r="I23" s="123"/>
      <c r="J23" s="123"/>
      <c r="K23" s="123"/>
      <c r="L23" s="123"/>
      <c r="M23" s="123"/>
      <c r="N23" s="123"/>
      <c r="O23" s="123"/>
      <c r="P23" s="123"/>
    </row>
    <row r="24" spans="1:16" x14ac:dyDescent="0.2">
      <c r="C24" s="43" t="s">
        <v>236</v>
      </c>
      <c r="D24" s="141">
        <v>1</v>
      </c>
      <c r="E24" s="141">
        <v>1</v>
      </c>
      <c r="F24" s="141">
        <v>1</v>
      </c>
      <c r="G24" s="141">
        <v>1</v>
      </c>
      <c r="H24" s="141">
        <v>1</v>
      </c>
      <c r="I24" s="123"/>
      <c r="J24" s="123"/>
      <c r="K24" s="123"/>
      <c r="L24" s="123"/>
      <c r="M24" s="123"/>
      <c r="N24" s="123"/>
      <c r="O24" s="123"/>
      <c r="P24" s="123"/>
    </row>
    <row r="25" spans="1:16" x14ac:dyDescent="0.2">
      <c r="C25" s="43" t="s">
        <v>237</v>
      </c>
      <c r="D25" s="141">
        <v>1</v>
      </c>
      <c r="E25" s="141">
        <v>1.86</v>
      </c>
      <c r="F25" s="141">
        <v>1.86</v>
      </c>
      <c r="G25" s="141">
        <v>1.86</v>
      </c>
      <c r="H25" s="141">
        <v>1.86</v>
      </c>
      <c r="I25" s="123"/>
      <c r="J25" s="123"/>
      <c r="K25" s="123"/>
      <c r="L25" s="123"/>
      <c r="M25" s="123"/>
      <c r="N25" s="123"/>
      <c r="O25" s="123"/>
      <c r="P25" s="123"/>
    </row>
    <row r="26" spans="1:16" x14ac:dyDescent="0.2">
      <c r="C26" s="43" t="s">
        <v>238</v>
      </c>
      <c r="D26" s="141">
        <v>1</v>
      </c>
      <c r="E26" s="141">
        <v>3.01</v>
      </c>
      <c r="F26" s="141">
        <v>3.01</v>
      </c>
      <c r="G26" s="141">
        <v>3.01</v>
      </c>
      <c r="H26" s="141">
        <v>3.01</v>
      </c>
      <c r="I26" s="123"/>
      <c r="J26" s="123"/>
      <c r="K26" s="123"/>
      <c r="L26" s="123"/>
      <c r="M26" s="123"/>
      <c r="N26" s="123"/>
      <c r="O26" s="123"/>
      <c r="P26" s="123"/>
    </row>
    <row r="28" spans="1:16" s="105" customFormat="1" x14ac:dyDescent="0.2">
      <c r="A28" s="104" t="s">
        <v>239</v>
      </c>
    </row>
    <row r="29" spans="1:16" s="36" customFormat="1" x14ac:dyDescent="0.2">
      <c r="A29" s="126" t="s">
        <v>240</v>
      </c>
      <c r="B29" s="99" t="s">
        <v>233</v>
      </c>
      <c r="C29" s="99" t="s">
        <v>241</v>
      </c>
      <c r="D29" s="108" t="s">
        <v>1</v>
      </c>
      <c r="E29" s="108" t="s">
        <v>2</v>
      </c>
      <c r="F29" s="108" t="s">
        <v>3</v>
      </c>
      <c r="G29" s="108" t="s">
        <v>4</v>
      </c>
      <c r="H29" s="108" t="s">
        <v>5</v>
      </c>
      <c r="I29" s="125"/>
      <c r="J29" s="125"/>
      <c r="K29" s="125"/>
      <c r="L29" s="125"/>
      <c r="M29" s="125"/>
      <c r="N29" s="125"/>
      <c r="O29" s="125"/>
      <c r="P29" s="125"/>
    </row>
    <row r="30" spans="1:16" x14ac:dyDescent="0.2">
      <c r="A30" s="40"/>
      <c r="B30" s="35" t="s">
        <v>71</v>
      </c>
      <c r="C30" s="43" t="s">
        <v>235</v>
      </c>
      <c r="D30" s="140">
        <v>1</v>
      </c>
      <c r="E30" s="140">
        <v>1</v>
      </c>
      <c r="F30" s="140">
        <v>1</v>
      </c>
      <c r="G30" s="140">
        <v>1</v>
      </c>
      <c r="H30" s="140">
        <v>1</v>
      </c>
      <c r="I30" s="127"/>
      <c r="J30" s="123"/>
      <c r="K30" s="123"/>
      <c r="L30" s="123"/>
      <c r="M30" s="123"/>
      <c r="N30" s="123"/>
      <c r="O30" s="123"/>
      <c r="P30" s="123"/>
    </row>
    <row r="31" spans="1:16" x14ac:dyDescent="0.2">
      <c r="C31" s="43" t="s">
        <v>236</v>
      </c>
      <c r="D31" s="141">
        <v>1</v>
      </c>
      <c r="E31" s="141">
        <v>1.6</v>
      </c>
      <c r="F31" s="141">
        <v>1.6</v>
      </c>
      <c r="G31" s="141">
        <v>1.6</v>
      </c>
      <c r="H31" s="141">
        <v>1.6</v>
      </c>
      <c r="I31" s="123"/>
      <c r="J31" s="123"/>
      <c r="K31" s="123"/>
      <c r="L31" s="123"/>
      <c r="M31" s="123"/>
      <c r="N31" s="123"/>
      <c r="O31" s="123"/>
      <c r="P31" s="123"/>
    </row>
    <row r="32" spans="1:16" x14ac:dyDescent="0.2">
      <c r="C32" s="43" t="s">
        <v>65</v>
      </c>
      <c r="D32" s="141">
        <v>1</v>
      </c>
      <c r="E32" s="141">
        <v>3.41</v>
      </c>
      <c r="F32" s="141">
        <v>3.41</v>
      </c>
      <c r="G32" s="141">
        <v>3.41</v>
      </c>
      <c r="H32" s="141">
        <v>3.41</v>
      </c>
      <c r="I32" s="123"/>
      <c r="J32" s="123"/>
      <c r="K32" s="123"/>
      <c r="L32" s="123"/>
      <c r="M32" s="123"/>
      <c r="N32" s="123"/>
      <c r="O32" s="123"/>
      <c r="P32" s="123"/>
    </row>
    <row r="33" spans="2:16" x14ac:dyDescent="0.2">
      <c r="C33" s="43" t="s">
        <v>66</v>
      </c>
      <c r="D33" s="141">
        <v>1</v>
      </c>
      <c r="E33" s="141">
        <v>12.33</v>
      </c>
      <c r="F33" s="141">
        <v>12.33</v>
      </c>
      <c r="G33" s="141">
        <v>12.33</v>
      </c>
      <c r="H33" s="141">
        <v>12.33</v>
      </c>
      <c r="I33" s="123"/>
      <c r="J33" s="123"/>
      <c r="K33" s="123"/>
      <c r="L33" s="123"/>
      <c r="M33" s="123"/>
      <c r="N33" s="123"/>
      <c r="O33" s="123"/>
      <c r="P33" s="123"/>
    </row>
    <row r="34" spans="2:16" x14ac:dyDescent="0.2">
      <c r="B34" s="35" t="s">
        <v>16</v>
      </c>
      <c r="C34" s="43" t="s">
        <v>235</v>
      </c>
      <c r="D34" s="140">
        <v>1</v>
      </c>
      <c r="E34" s="140">
        <v>1</v>
      </c>
      <c r="F34" s="140">
        <v>1</v>
      </c>
      <c r="G34" s="140">
        <v>1</v>
      </c>
      <c r="H34" s="140">
        <v>1</v>
      </c>
      <c r="I34" s="123"/>
      <c r="J34" s="123"/>
      <c r="K34" s="123"/>
      <c r="L34" s="123"/>
      <c r="M34" s="123"/>
      <c r="N34" s="123"/>
      <c r="O34" s="123"/>
      <c r="P34" s="123"/>
    </row>
    <row r="35" spans="2:16" x14ac:dyDescent="0.2">
      <c r="C35" s="43" t="s">
        <v>236</v>
      </c>
      <c r="D35" s="141">
        <v>1</v>
      </c>
      <c r="E35" s="141">
        <v>1.92</v>
      </c>
      <c r="F35" s="141">
        <v>1.92</v>
      </c>
      <c r="G35" s="141">
        <v>1.92</v>
      </c>
      <c r="H35" s="141">
        <v>1.92</v>
      </c>
      <c r="I35" s="123"/>
      <c r="J35" s="123"/>
      <c r="K35" s="123"/>
      <c r="L35" s="123"/>
      <c r="M35" s="123"/>
      <c r="N35" s="123"/>
      <c r="O35" s="123"/>
      <c r="P35" s="123"/>
    </row>
    <row r="36" spans="2:16" x14ac:dyDescent="0.2">
      <c r="C36" s="43" t="s">
        <v>65</v>
      </c>
      <c r="D36" s="141">
        <v>1</v>
      </c>
      <c r="E36" s="141">
        <v>4.66</v>
      </c>
      <c r="F36" s="141">
        <v>4.66</v>
      </c>
      <c r="G36" s="141">
        <v>4.66</v>
      </c>
      <c r="H36" s="141">
        <v>4.66</v>
      </c>
      <c r="I36" s="123"/>
      <c r="J36" s="123"/>
      <c r="K36" s="123"/>
      <c r="L36" s="123"/>
      <c r="M36" s="123"/>
      <c r="N36" s="123"/>
      <c r="O36" s="123"/>
      <c r="P36" s="123"/>
    </row>
    <row r="37" spans="2:16" x14ac:dyDescent="0.2">
      <c r="C37" s="43" t="s">
        <v>66</v>
      </c>
      <c r="D37" s="141">
        <v>1</v>
      </c>
      <c r="E37" s="141">
        <v>9.68</v>
      </c>
      <c r="F37" s="141">
        <v>9.68</v>
      </c>
      <c r="G37" s="141">
        <v>9.68</v>
      </c>
      <c r="H37" s="141">
        <v>9.68</v>
      </c>
      <c r="I37" s="123"/>
      <c r="J37" s="123"/>
      <c r="K37" s="123"/>
      <c r="L37" s="123"/>
      <c r="M37" s="123"/>
      <c r="N37" s="123"/>
      <c r="O37" s="123"/>
      <c r="P37" s="123"/>
    </row>
    <row r="38" spans="2:16" x14ac:dyDescent="0.2">
      <c r="B38" s="35" t="s">
        <v>18</v>
      </c>
      <c r="C38" s="43" t="s">
        <v>235</v>
      </c>
      <c r="D38" s="140">
        <v>1</v>
      </c>
      <c r="E38" s="140">
        <v>1</v>
      </c>
      <c r="F38" s="140">
        <v>1</v>
      </c>
      <c r="G38" s="140">
        <v>1</v>
      </c>
      <c r="H38" s="140">
        <v>1</v>
      </c>
      <c r="I38" s="123"/>
      <c r="J38" s="123"/>
      <c r="K38" s="123"/>
      <c r="L38" s="123"/>
      <c r="M38" s="123"/>
      <c r="N38" s="123"/>
      <c r="O38" s="123"/>
      <c r="P38" s="123"/>
    </row>
    <row r="39" spans="2:16" x14ac:dyDescent="0.2">
      <c r="C39" s="43" t="s">
        <v>236</v>
      </c>
      <c r="D39" s="141">
        <v>1</v>
      </c>
      <c r="E39" s="141">
        <v>1</v>
      </c>
      <c r="F39" s="141">
        <v>1</v>
      </c>
      <c r="G39" s="141">
        <v>1</v>
      </c>
      <c r="H39" s="141">
        <v>1</v>
      </c>
      <c r="I39" s="123"/>
      <c r="J39" s="123"/>
      <c r="K39" s="123"/>
      <c r="L39" s="123"/>
      <c r="M39" s="123"/>
      <c r="N39" s="123"/>
      <c r="O39" s="123"/>
      <c r="P39" s="123"/>
    </row>
    <row r="40" spans="2:16" x14ac:dyDescent="0.2">
      <c r="C40" s="43" t="s">
        <v>65</v>
      </c>
      <c r="D40" s="141">
        <v>1</v>
      </c>
      <c r="E40" s="141">
        <v>2.58</v>
      </c>
      <c r="F40" s="141">
        <v>2.58</v>
      </c>
      <c r="G40" s="141">
        <v>2.58</v>
      </c>
      <c r="H40" s="141">
        <v>2.58</v>
      </c>
      <c r="I40" s="123"/>
      <c r="J40" s="123"/>
      <c r="K40" s="123"/>
      <c r="L40" s="123"/>
      <c r="M40" s="123"/>
      <c r="N40" s="123"/>
      <c r="O40" s="123"/>
      <c r="P40" s="123"/>
    </row>
    <row r="41" spans="2:16" x14ac:dyDescent="0.2">
      <c r="C41" s="43" t="s">
        <v>66</v>
      </c>
      <c r="D41" s="141">
        <v>1</v>
      </c>
      <c r="E41" s="141">
        <v>9.6300000000000008</v>
      </c>
      <c r="F41" s="141">
        <v>9.6300000000000008</v>
      </c>
      <c r="G41" s="141">
        <v>9.6300000000000008</v>
      </c>
      <c r="H41" s="141">
        <v>9.6300000000000008</v>
      </c>
      <c r="I41" s="123"/>
      <c r="J41" s="123"/>
      <c r="K41" s="123"/>
      <c r="L41" s="123"/>
      <c r="M41" s="123"/>
      <c r="N41" s="123"/>
      <c r="O41" s="123"/>
      <c r="P41" s="123"/>
    </row>
    <row r="42" spans="2:16" x14ac:dyDescent="0.2">
      <c r="B42" s="35" t="s">
        <v>19</v>
      </c>
      <c r="C42" s="43" t="s">
        <v>235</v>
      </c>
      <c r="D42" s="140">
        <v>1</v>
      </c>
      <c r="E42" s="140">
        <v>1</v>
      </c>
      <c r="F42" s="140">
        <v>1</v>
      </c>
      <c r="G42" s="140">
        <v>1</v>
      </c>
      <c r="H42" s="140">
        <v>1</v>
      </c>
      <c r="I42" s="123"/>
      <c r="J42" s="123"/>
      <c r="K42" s="123"/>
      <c r="L42" s="123"/>
      <c r="M42" s="123"/>
      <c r="N42" s="123"/>
      <c r="O42" s="123"/>
      <c r="P42" s="123"/>
    </row>
    <row r="43" spans="2:16" x14ac:dyDescent="0.2">
      <c r="C43" s="43" t="s">
        <v>236</v>
      </c>
      <c r="D43" s="141">
        <v>1</v>
      </c>
      <c r="E43" s="141">
        <v>1</v>
      </c>
      <c r="F43" s="141">
        <v>1</v>
      </c>
      <c r="G43" s="141">
        <v>1</v>
      </c>
      <c r="H43" s="141">
        <v>1</v>
      </c>
      <c r="I43" s="123"/>
      <c r="J43" s="123"/>
      <c r="K43" s="123"/>
      <c r="L43" s="123"/>
      <c r="M43" s="123"/>
      <c r="N43" s="123"/>
      <c r="O43" s="123"/>
      <c r="P43" s="123"/>
    </row>
    <row r="44" spans="2:16" x14ac:dyDescent="0.2">
      <c r="C44" s="43" t="s">
        <v>65</v>
      </c>
      <c r="D44" s="141">
        <v>1</v>
      </c>
      <c r="E44" s="141">
        <v>1</v>
      </c>
      <c r="F44" s="141">
        <v>1</v>
      </c>
      <c r="G44" s="141">
        <v>1</v>
      </c>
      <c r="H44" s="141">
        <v>1</v>
      </c>
      <c r="I44" s="123"/>
      <c r="J44" s="123"/>
      <c r="K44" s="123"/>
      <c r="L44" s="123"/>
      <c r="M44" s="123"/>
      <c r="N44" s="123"/>
      <c r="O44" s="123"/>
      <c r="P44" s="123"/>
    </row>
    <row r="45" spans="2:16" x14ac:dyDescent="0.2">
      <c r="C45" s="43" t="s">
        <v>66</v>
      </c>
      <c r="D45" s="141">
        <v>1</v>
      </c>
      <c r="E45" s="141">
        <v>1</v>
      </c>
      <c r="F45" s="141">
        <v>1</v>
      </c>
      <c r="G45" s="141">
        <v>1</v>
      </c>
      <c r="H45" s="141">
        <v>1</v>
      </c>
      <c r="I45" s="123"/>
      <c r="J45" s="123"/>
      <c r="K45" s="123"/>
      <c r="L45" s="123"/>
      <c r="M45" s="123"/>
      <c r="N45" s="123"/>
      <c r="O45" s="123"/>
      <c r="P45" s="123"/>
    </row>
    <row r="46" spans="2:16" x14ac:dyDescent="0.2">
      <c r="B46" s="35" t="s">
        <v>17</v>
      </c>
      <c r="C46" s="43" t="s">
        <v>235</v>
      </c>
      <c r="D46" s="140">
        <v>1</v>
      </c>
      <c r="E46" s="140">
        <v>1</v>
      </c>
      <c r="F46" s="140">
        <v>1</v>
      </c>
      <c r="G46" s="140">
        <v>1</v>
      </c>
      <c r="H46" s="140">
        <v>1</v>
      </c>
      <c r="I46" s="123"/>
      <c r="J46" s="123"/>
      <c r="K46" s="123"/>
      <c r="L46" s="123"/>
      <c r="M46" s="123"/>
      <c r="N46" s="123"/>
      <c r="O46" s="123"/>
      <c r="P46" s="123"/>
    </row>
    <row r="47" spans="2:16" x14ac:dyDescent="0.2">
      <c r="C47" s="43" t="s">
        <v>236</v>
      </c>
      <c r="D47" s="141">
        <v>1</v>
      </c>
      <c r="E47" s="141">
        <v>1.65</v>
      </c>
      <c r="F47" s="141">
        <v>1.65</v>
      </c>
      <c r="G47" s="141">
        <v>1.65</v>
      </c>
      <c r="H47" s="141">
        <v>1.65</v>
      </c>
      <c r="I47" s="123"/>
      <c r="J47" s="123"/>
      <c r="K47" s="123"/>
      <c r="L47" s="123"/>
      <c r="M47" s="123"/>
      <c r="N47" s="123"/>
      <c r="O47" s="123"/>
      <c r="P47" s="123"/>
    </row>
    <row r="48" spans="2:16" x14ac:dyDescent="0.2">
      <c r="C48" s="43" t="s">
        <v>65</v>
      </c>
      <c r="D48" s="141">
        <v>1</v>
      </c>
      <c r="E48" s="141">
        <v>2.73</v>
      </c>
      <c r="F48" s="141">
        <v>2.73</v>
      </c>
      <c r="G48" s="141">
        <v>2.73</v>
      </c>
      <c r="H48" s="141">
        <v>2.73</v>
      </c>
      <c r="I48" s="123"/>
      <c r="J48" s="123"/>
      <c r="K48" s="123"/>
      <c r="L48" s="123"/>
      <c r="M48" s="123"/>
      <c r="N48" s="123"/>
      <c r="O48" s="123"/>
      <c r="P48" s="123"/>
    </row>
    <row r="49" spans="1:16" x14ac:dyDescent="0.2">
      <c r="C49" s="43" t="s">
        <v>66</v>
      </c>
      <c r="D49" s="141">
        <v>1</v>
      </c>
      <c r="E49" s="141">
        <v>11.21</v>
      </c>
      <c r="F49" s="141">
        <v>11.21</v>
      </c>
      <c r="G49" s="141">
        <v>11.21</v>
      </c>
      <c r="H49" s="141">
        <v>11.21</v>
      </c>
      <c r="I49" s="123"/>
      <c r="J49" s="123"/>
      <c r="K49" s="123"/>
      <c r="L49" s="123"/>
      <c r="M49" s="123"/>
      <c r="N49" s="123"/>
      <c r="O49" s="123"/>
      <c r="P49" s="123"/>
    </row>
    <row r="50" spans="1:16" x14ac:dyDescent="0.2">
      <c r="B50" s="35" t="s">
        <v>23</v>
      </c>
      <c r="C50" s="43" t="s">
        <v>235</v>
      </c>
      <c r="D50" s="140">
        <v>1</v>
      </c>
      <c r="E50" s="140">
        <v>1</v>
      </c>
      <c r="F50" s="140">
        <v>1</v>
      </c>
      <c r="G50" s="140">
        <v>1</v>
      </c>
      <c r="H50" s="140">
        <v>1</v>
      </c>
      <c r="I50" s="123"/>
      <c r="J50" s="123"/>
      <c r="K50" s="123"/>
      <c r="L50" s="123"/>
      <c r="M50" s="123"/>
      <c r="N50" s="123"/>
      <c r="O50" s="123"/>
      <c r="P50" s="123"/>
    </row>
    <row r="51" spans="1:16" x14ac:dyDescent="0.2">
      <c r="C51" s="43" t="s">
        <v>236</v>
      </c>
      <c r="D51" s="141">
        <v>1</v>
      </c>
      <c r="E51" s="141">
        <v>1.65</v>
      </c>
      <c r="F51" s="141">
        <v>1.65</v>
      </c>
      <c r="G51" s="141">
        <v>1.65</v>
      </c>
      <c r="H51" s="141">
        <v>1.65</v>
      </c>
      <c r="I51" s="123"/>
      <c r="J51" s="123"/>
      <c r="K51" s="123"/>
      <c r="L51" s="123"/>
      <c r="M51" s="123"/>
      <c r="N51" s="123"/>
      <c r="O51" s="123"/>
      <c r="P51" s="123"/>
    </row>
    <row r="52" spans="1:16" x14ac:dyDescent="0.2">
      <c r="C52" s="43" t="s">
        <v>65</v>
      </c>
      <c r="D52" s="141">
        <v>1</v>
      </c>
      <c r="E52" s="141">
        <v>2.73</v>
      </c>
      <c r="F52" s="141">
        <v>2.73</v>
      </c>
      <c r="G52" s="141">
        <v>2.73</v>
      </c>
      <c r="H52" s="141">
        <v>2.73</v>
      </c>
      <c r="I52" s="123"/>
      <c r="J52" s="123"/>
      <c r="K52" s="123"/>
      <c r="L52" s="123"/>
      <c r="M52" s="123"/>
      <c r="N52" s="123"/>
      <c r="O52" s="123"/>
      <c r="P52" s="123"/>
    </row>
    <row r="53" spans="1:16" x14ac:dyDescent="0.2">
      <c r="C53" s="43" t="s">
        <v>66</v>
      </c>
      <c r="D53" s="141">
        <v>1</v>
      </c>
      <c r="E53" s="141">
        <v>11.21</v>
      </c>
      <c r="F53" s="141">
        <v>11.21</v>
      </c>
      <c r="G53" s="141">
        <v>11.21</v>
      </c>
      <c r="H53" s="141">
        <v>11.21</v>
      </c>
      <c r="I53" s="123"/>
      <c r="J53" s="123"/>
      <c r="K53" s="123"/>
      <c r="L53" s="123"/>
      <c r="M53" s="123"/>
      <c r="N53" s="123"/>
      <c r="O53" s="123"/>
      <c r="P53" s="123"/>
    </row>
    <row r="54" spans="1:16" x14ac:dyDescent="0.2">
      <c r="C54" s="43"/>
      <c r="D54" s="43"/>
    </row>
    <row r="55" spans="1:16" s="105" customFormat="1" x14ac:dyDescent="0.2">
      <c r="A55" s="104" t="s">
        <v>242</v>
      </c>
    </row>
    <row r="56" spans="1:16" s="36" customFormat="1" ht="25.5" x14ac:dyDescent="0.2">
      <c r="A56" s="126" t="s">
        <v>70</v>
      </c>
      <c r="B56" s="99" t="s">
        <v>233</v>
      </c>
      <c r="C56" s="128" t="s">
        <v>243</v>
      </c>
      <c r="D56" s="108" t="s">
        <v>53</v>
      </c>
      <c r="E56" s="108" t="s">
        <v>54</v>
      </c>
      <c r="F56" s="108" t="s">
        <v>55</v>
      </c>
      <c r="G56" s="108" t="s">
        <v>56</v>
      </c>
      <c r="H56" s="125"/>
      <c r="M56" s="125"/>
      <c r="N56" s="125"/>
      <c r="O56" s="125"/>
      <c r="P56" s="125"/>
    </row>
    <row r="57" spans="1:16" x14ac:dyDescent="0.2">
      <c r="A57" s="40"/>
      <c r="B57" s="35" t="s">
        <v>38</v>
      </c>
      <c r="C57" s="43" t="s">
        <v>244</v>
      </c>
      <c r="D57" s="140">
        <v>1</v>
      </c>
      <c r="E57" s="140">
        <v>1</v>
      </c>
      <c r="F57" s="140">
        <v>1</v>
      </c>
      <c r="G57" s="140">
        <v>1</v>
      </c>
      <c r="H57" s="123"/>
      <c r="M57" s="123"/>
      <c r="N57" s="123"/>
      <c r="O57" s="123"/>
      <c r="P57" s="123"/>
    </row>
    <row r="58" spans="1:16" x14ac:dyDescent="0.2">
      <c r="C58" s="43" t="s">
        <v>245</v>
      </c>
      <c r="D58" s="141">
        <v>10.675000000000001</v>
      </c>
      <c r="E58" s="141">
        <v>10.675000000000001</v>
      </c>
      <c r="F58" s="141">
        <v>10.675000000000001</v>
      </c>
      <c r="G58" s="141">
        <v>10.675000000000001</v>
      </c>
      <c r="H58" s="123"/>
      <c r="M58" s="123"/>
      <c r="N58" s="123"/>
      <c r="O58" s="123"/>
      <c r="P58" s="123"/>
    </row>
    <row r="59" spans="1:16" x14ac:dyDescent="0.2">
      <c r="B59" s="35" t="s">
        <v>39</v>
      </c>
      <c r="C59" s="43" t="s">
        <v>244</v>
      </c>
      <c r="D59" s="140">
        <v>1</v>
      </c>
      <c r="E59" s="140">
        <v>1</v>
      </c>
      <c r="F59" s="140">
        <v>1</v>
      </c>
      <c r="G59" s="140">
        <v>1</v>
      </c>
      <c r="H59" s="123"/>
      <c r="M59" s="123"/>
      <c r="N59" s="123"/>
      <c r="O59" s="123"/>
      <c r="P59" s="123"/>
    </row>
    <row r="60" spans="1:16" x14ac:dyDescent="0.2">
      <c r="C60" s="43" t="s">
        <v>245</v>
      </c>
      <c r="D60" s="141">
        <v>10.675000000000001</v>
      </c>
      <c r="E60" s="141">
        <v>10.675000000000001</v>
      </c>
      <c r="F60" s="141">
        <v>10.675000000000001</v>
      </c>
      <c r="G60" s="141">
        <v>10.675000000000001</v>
      </c>
      <c r="H60" s="123"/>
      <c r="M60" s="123"/>
      <c r="N60" s="123"/>
      <c r="O60" s="123"/>
      <c r="P60" s="123"/>
    </row>
    <row r="61" spans="1:16" x14ac:dyDescent="0.2">
      <c r="B61" s="35" t="s">
        <v>40</v>
      </c>
      <c r="C61" s="43" t="s">
        <v>244</v>
      </c>
      <c r="D61" s="140">
        <v>1</v>
      </c>
      <c r="E61" s="140">
        <v>1</v>
      </c>
      <c r="F61" s="140">
        <v>1</v>
      </c>
      <c r="G61" s="140">
        <v>1</v>
      </c>
      <c r="H61" s="123"/>
      <c r="M61" s="123"/>
      <c r="N61" s="123"/>
      <c r="O61" s="123"/>
      <c r="P61" s="123"/>
    </row>
    <row r="62" spans="1:16" x14ac:dyDescent="0.2">
      <c r="C62" s="43" t="s">
        <v>245</v>
      </c>
      <c r="D62" s="141">
        <v>10.675000000000001</v>
      </c>
      <c r="E62" s="141">
        <v>10.675000000000001</v>
      </c>
      <c r="F62" s="141">
        <v>10.675000000000001</v>
      </c>
      <c r="G62" s="141">
        <v>10.675000000000001</v>
      </c>
      <c r="H62" s="123"/>
      <c r="M62" s="123"/>
      <c r="N62" s="123"/>
      <c r="O62" s="123"/>
      <c r="P62" s="123"/>
    </row>
    <row r="63" spans="1:16" x14ac:dyDescent="0.2">
      <c r="C63" s="43"/>
      <c r="D63" s="43"/>
    </row>
    <row r="64" spans="1:16" s="105" customFormat="1" x14ac:dyDescent="0.2">
      <c r="A64" s="104" t="s">
        <v>246</v>
      </c>
    </row>
    <row r="65" spans="1:16" s="36" customFormat="1" ht="25.5" x14ac:dyDescent="0.2">
      <c r="A65" s="126" t="s">
        <v>24</v>
      </c>
      <c r="B65" s="99" t="s">
        <v>233</v>
      </c>
      <c r="C65" s="128" t="s">
        <v>247</v>
      </c>
      <c r="D65" s="108" t="s">
        <v>1</v>
      </c>
      <c r="E65" s="108" t="s">
        <v>2</v>
      </c>
      <c r="F65" s="108" t="s">
        <v>3</v>
      </c>
      <c r="G65" s="108" t="s">
        <v>4</v>
      </c>
      <c r="H65" s="129" t="s">
        <v>5</v>
      </c>
      <c r="I65" s="125"/>
      <c r="J65" s="125"/>
      <c r="K65" s="125"/>
      <c r="L65" s="125"/>
      <c r="M65" s="125"/>
      <c r="N65" s="125"/>
      <c r="O65" s="125"/>
      <c r="P65" s="125"/>
    </row>
    <row r="66" spans="1:16" x14ac:dyDescent="0.2">
      <c r="A66" s="130"/>
      <c r="B66" s="35" t="s">
        <v>73</v>
      </c>
      <c r="C66" s="43" t="s">
        <v>166</v>
      </c>
      <c r="D66" s="140">
        <v>1</v>
      </c>
      <c r="E66" s="140">
        <v>1</v>
      </c>
      <c r="F66" s="140">
        <v>1</v>
      </c>
      <c r="G66" s="140">
        <v>1</v>
      </c>
      <c r="H66" s="123">
        <v>1</v>
      </c>
      <c r="I66" s="123"/>
      <c r="J66" s="123"/>
      <c r="K66" s="123"/>
      <c r="L66" s="123"/>
      <c r="M66" s="123"/>
      <c r="N66" s="123"/>
      <c r="O66" s="123"/>
      <c r="P66" s="123"/>
    </row>
    <row r="67" spans="1:16" x14ac:dyDescent="0.2">
      <c r="C67" s="43" t="s">
        <v>167</v>
      </c>
      <c r="D67" s="141">
        <v>1.35</v>
      </c>
      <c r="E67" s="141">
        <v>1</v>
      </c>
      <c r="F67" s="141">
        <v>1</v>
      </c>
      <c r="G67" s="141">
        <v>1</v>
      </c>
      <c r="H67" s="123">
        <v>1</v>
      </c>
      <c r="I67" s="123"/>
      <c r="J67" s="123"/>
      <c r="K67" s="123"/>
      <c r="L67" s="123"/>
      <c r="M67" s="123"/>
      <c r="N67" s="123"/>
      <c r="O67" s="123"/>
      <c r="P67" s="123"/>
    </row>
    <row r="68" spans="1:16" x14ac:dyDescent="0.2">
      <c r="C68" s="43" t="s">
        <v>168</v>
      </c>
      <c r="D68" s="141">
        <v>1.35</v>
      </c>
      <c r="E68" s="141">
        <v>1</v>
      </c>
      <c r="F68" s="141">
        <v>1</v>
      </c>
      <c r="G68" s="141">
        <v>1</v>
      </c>
      <c r="H68" s="123">
        <v>1</v>
      </c>
      <c r="I68" s="123"/>
      <c r="J68" s="123"/>
      <c r="K68" s="123"/>
      <c r="L68" s="123"/>
      <c r="M68" s="123"/>
      <c r="N68" s="123"/>
      <c r="O68" s="123"/>
      <c r="P68" s="123"/>
    </row>
    <row r="69" spans="1:16" x14ac:dyDescent="0.2">
      <c r="C69" s="43" t="s">
        <v>169</v>
      </c>
      <c r="D69" s="141">
        <v>5.4</v>
      </c>
      <c r="E69" s="141">
        <v>1</v>
      </c>
      <c r="F69" s="141">
        <v>1</v>
      </c>
      <c r="G69" s="141">
        <v>1</v>
      </c>
      <c r="H69" s="123">
        <v>1</v>
      </c>
      <c r="I69" s="123"/>
      <c r="J69" s="123"/>
      <c r="K69" s="123"/>
      <c r="L69" s="123"/>
      <c r="M69" s="123"/>
      <c r="N69" s="123"/>
      <c r="O69" s="123"/>
      <c r="P69" s="123"/>
    </row>
    <row r="70" spans="1:16" x14ac:dyDescent="0.2">
      <c r="B70" s="35" t="s">
        <v>7</v>
      </c>
      <c r="C70" s="43" t="s">
        <v>166</v>
      </c>
      <c r="D70" s="140">
        <v>1</v>
      </c>
      <c r="E70" s="140">
        <v>1</v>
      </c>
      <c r="F70" s="140">
        <v>1</v>
      </c>
      <c r="G70" s="140">
        <v>1</v>
      </c>
      <c r="H70" s="123">
        <v>1</v>
      </c>
      <c r="I70" s="123"/>
      <c r="J70" s="123"/>
      <c r="K70" s="123"/>
      <c r="L70" s="123"/>
      <c r="M70" s="123"/>
      <c r="N70" s="123"/>
      <c r="O70" s="123"/>
      <c r="P70" s="123"/>
    </row>
    <row r="71" spans="1:16" x14ac:dyDescent="0.2">
      <c r="C71" s="43" t="s">
        <v>167</v>
      </c>
      <c r="D71" s="141">
        <v>1.35</v>
      </c>
      <c r="E71" s="141">
        <v>1</v>
      </c>
      <c r="F71" s="141">
        <v>1</v>
      </c>
      <c r="G71" s="141">
        <v>1</v>
      </c>
      <c r="H71" s="123">
        <v>1</v>
      </c>
      <c r="I71" s="123"/>
      <c r="J71" s="123"/>
      <c r="K71" s="123"/>
      <c r="L71" s="123"/>
      <c r="M71" s="123"/>
      <c r="N71" s="123"/>
      <c r="O71" s="123"/>
      <c r="P71" s="123"/>
    </row>
    <row r="72" spans="1:16" x14ac:dyDescent="0.2">
      <c r="C72" s="43" t="s">
        <v>168</v>
      </c>
      <c r="D72" s="141">
        <v>1.35</v>
      </c>
      <c r="E72" s="141">
        <v>1</v>
      </c>
      <c r="F72" s="141">
        <v>1</v>
      </c>
      <c r="G72" s="141">
        <v>1</v>
      </c>
      <c r="H72" s="123">
        <v>1</v>
      </c>
      <c r="I72" s="123"/>
      <c r="J72" s="123"/>
      <c r="K72" s="123"/>
      <c r="L72" s="123"/>
      <c r="M72" s="123"/>
      <c r="N72" s="123"/>
      <c r="O72" s="123"/>
      <c r="P72" s="123"/>
    </row>
    <row r="73" spans="1:16" x14ac:dyDescent="0.2">
      <c r="C73" s="43" t="s">
        <v>169</v>
      </c>
      <c r="D73" s="141">
        <v>5.4</v>
      </c>
      <c r="E73" s="141">
        <v>1</v>
      </c>
      <c r="F73" s="141">
        <v>1</v>
      </c>
      <c r="G73" s="141">
        <v>1</v>
      </c>
      <c r="H73" s="123">
        <v>1</v>
      </c>
      <c r="I73" s="123"/>
      <c r="J73" s="123"/>
      <c r="K73" s="123"/>
      <c r="L73" s="123"/>
      <c r="M73" s="123"/>
      <c r="N73" s="123"/>
      <c r="O73" s="123"/>
      <c r="P73" s="123"/>
    </row>
    <row r="74" spans="1:16" x14ac:dyDescent="0.2">
      <c r="B74" s="35" t="s">
        <v>8</v>
      </c>
      <c r="C74" s="43" t="s">
        <v>166</v>
      </c>
      <c r="D74" s="140">
        <v>1</v>
      </c>
      <c r="E74" s="140">
        <v>1</v>
      </c>
      <c r="F74" s="140">
        <v>1</v>
      </c>
      <c r="G74" s="140">
        <v>1</v>
      </c>
      <c r="H74" s="123">
        <v>1</v>
      </c>
      <c r="I74" s="123"/>
      <c r="J74" s="123"/>
      <c r="K74" s="123"/>
      <c r="L74" s="123"/>
      <c r="M74" s="123"/>
      <c r="N74" s="123"/>
      <c r="O74" s="123"/>
      <c r="P74" s="123"/>
    </row>
    <row r="75" spans="1:16" x14ac:dyDescent="0.2">
      <c r="C75" s="43" t="s">
        <v>167</v>
      </c>
      <c r="D75" s="141">
        <v>1.35</v>
      </c>
      <c r="E75" s="141">
        <v>1</v>
      </c>
      <c r="F75" s="141">
        <v>1</v>
      </c>
      <c r="G75" s="141">
        <v>1</v>
      </c>
      <c r="H75" s="123">
        <v>1</v>
      </c>
      <c r="I75" s="123"/>
      <c r="J75" s="123"/>
      <c r="K75" s="123"/>
      <c r="L75" s="123"/>
      <c r="M75" s="123"/>
      <c r="N75" s="123"/>
      <c r="O75" s="123"/>
      <c r="P75" s="123"/>
    </row>
    <row r="76" spans="1:16" x14ac:dyDescent="0.2">
      <c r="C76" s="43" t="s">
        <v>168</v>
      </c>
      <c r="D76" s="141">
        <v>1.35</v>
      </c>
      <c r="E76" s="141">
        <v>1</v>
      </c>
      <c r="F76" s="141">
        <v>1</v>
      </c>
      <c r="G76" s="141">
        <v>1</v>
      </c>
      <c r="H76" s="123">
        <v>1</v>
      </c>
      <c r="I76" s="123"/>
      <c r="J76" s="123"/>
      <c r="K76" s="123"/>
      <c r="L76" s="123"/>
      <c r="M76" s="123"/>
      <c r="N76" s="123"/>
      <c r="O76" s="123"/>
      <c r="P76" s="123"/>
    </row>
    <row r="77" spans="1:16" x14ac:dyDescent="0.2">
      <c r="C77" s="43" t="s">
        <v>169</v>
      </c>
      <c r="D77" s="141">
        <v>5.4</v>
      </c>
      <c r="E77" s="141">
        <v>1</v>
      </c>
      <c r="F77" s="141">
        <v>1</v>
      </c>
      <c r="G77" s="141">
        <v>1</v>
      </c>
      <c r="H77" s="123">
        <v>1</v>
      </c>
      <c r="I77" s="123"/>
      <c r="J77" s="123"/>
      <c r="K77" s="123"/>
      <c r="L77" s="123"/>
      <c r="M77" s="123"/>
      <c r="N77" s="123"/>
      <c r="O77" s="123"/>
      <c r="P77" s="123"/>
    </row>
    <row r="78" spans="1:16" x14ac:dyDescent="0.2">
      <c r="B78" s="35" t="s">
        <v>13</v>
      </c>
      <c r="C78" s="43" t="s">
        <v>166</v>
      </c>
      <c r="D78" s="140">
        <v>1</v>
      </c>
      <c r="E78" s="140">
        <v>1</v>
      </c>
      <c r="F78" s="140">
        <v>1</v>
      </c>
      <c r="G78" s="140">
        <v>1</v>
      </c>
      <c r="H78" s="123">
        <v>1</v>
      </c>
      <c r="I78" s="123"/>
      <c r="J78" s="123"/>
      <c r="K78" s="123"/>
      <c r="L78" s="123"/>
      <c r="M78" s="123"/>
      <c r="N78" s="123"/>
      <c r="O78" s="123"/>
      <c r="P78" s="123"/>
    </row>
    <row r="79" spans="1:16" x14ac:dyDescent="0.2">
      <c r="C79" s="43" t="s">
        <v>167</v>
      </c>
      <c r="D79" s="141">
        <v>1</v>
      </c>
      <c r="E79" s="141">
        <v>1</v>
      </c>
      <c r="F79" s="141">
        <v>1</v>
      </c>
      <c r="G79" s="141">
        <v>1</v>
      </c>
      <c r="H79" s="123">
        <v>1</v>
      </c>
      <c r="I79" s="123"/>
      <c r="J79" s="123"/>
      <c r="K79" s="123"/>
      <c r="L79" s="123"/>
      <c r="M79" s="123"/>
      <c r="N79" s="123"/>
      <c r="O79" s="123"/>
      <c r="P79" s="123"/>
    </row>
    <row r="80" spans="1:16" x14ac:dyDescent="0.2">
      <c r="C80" s="43" t="s">
        <v>168</v>
      </c>
      <c r="D80" s="141">
        <v>1</v>
      </c>
      <c r="E80" s="141">
        <v>1</v>
      </c>
      <c r="F80" s="141">
        <v>1</v>
      </c>
      <c r="G80" s="141">
        <v>1</v>
      </c>
      <c r="H80" s="123">
        <v>1</v>
      </c>
      <c r="I80" s="123"/>
      <c r="J80" s="123"/>
      <c r="K80" s="123"/>
      <c r="L80" s="123"/>
      <c r="M80" s="123"/>
      <c r="N80" s="123"/>
      <c r="O80" s="123"/>
      <c r="P80" s="123"/>
    </row>
    <row r="81" spans="2:16" x14ac:dyDescent="0.2">
      <c r="C81" s="43" t="s">
        <v>169</v>
      </c>
      <c r="D81" s="141">
        <v>1</v>
      </c>
      <c r="E81" s="141">
        <v>1</v>
      </c>
      <c r="F81" s="141">
        <v>1</v>
      </c>
      <c r="G81" s="141">
        <v>1</v>
      </c>
      <c r="H81" s="123">
        <v>1</v>
      </c>
      <c r="I81" s="123"/>
      <c r="J81" s="123"/>
      <c r="K81" s="123"/>
      <c r="L81" s="123"/>
      <c r="M81" s="123"/>
      <c r="N81" s="123"/>
      <c r="O81" s="123"/>
      <c r="P81" s="123"/>
    </row>
    <row r="82" spans="2:16" x14ac:dyDescent="0.2">
      <c r="B82" s="35" t="s">
        <v>71</v>
      </c>
      <c r="C82" s="43" t="s">
        <v>166</v>
      </c>
      <c r="D82" s="140">
        <v>1</v>
      </c>
      <c r="E82" s="140">
        <v>1</v>
      </c>
      <c r="F82" s="140">
        <v>1</v>
      </c>
      <c r="G82" s="140">
        <v>1</v>
      </c>
      <c r="H82" s="123">
        <v>1</v>
      </c>
      <c r="I82" s="123"/>
      <c r="J82" s="123"/>
      <c r="K82" s="123"/>
      <c r="L82" s="123"/>
      <c r="M82" s="123"/>
      <c r="N82" s="123"/>
      <c r="O82" s="123"/>
      <c r="P82" s="123"/>
    </row>
    <row r="83" spans="2:16" x14ac:dyDescent="0.2">
      <c r="C83" s="43" t="s">
        <v>167</v>
      </c>
      <c r="D83" s="141">
        <v>1</v>
      </c>
      <c r="E83" s="141">
        <v>2.2799999999999998</v>
      </c>
      <c r="F83" s="141">
        <v>1</v>
      </c>
      <c r="G83" s="141">
        <v>1</v>
      </c>
      <c r="H83" s="123">
        <v>1</v>
      </c>
      <c r="I83" s="123"/>
      <c r="J83" s="123"/>
      <c r="K83" s="123"/>
      <c r="L83" s="123"/>
      <c r="M83" s="123"/>
      <c r="N83" s="123"/>
      <c r="O83" s="123"/>
      <c r="P83" s="123"/>
    </row>
    <row r="84" spans="2:16" x14ac:dyDescent="0.2">
      <c r="C84" s="43" t="s">
        <v>168</v>
      </c>
      <c r="D84" s="141">
        <v>1</v>
      </c>
      <c r="E84" s="141">
        <v>4.62</v>
      </c>
      <c r="F84" s="141">
        <v>1</v>
      </c>
      <c r="G84" s="141">
        <v>1</v>
      </c>
      <c r="H84" s="123">
        <v>1</v>
      </c>
      <c r="I84" s="123"/>
      <c r="J84" s="123"/>
      <c r="K84" s="123"/>
      <c r="L84" s="123"/>
      <c r="M84" s="123"/>
      <c r="N84" s="123"/>
      <c r="O84" s="123"/>
      <c r="P84" s="123"/>
    </row>
    <row r="85" spans="2:16" x14ac:dyDescent="0.2">
      <c r="C85" s="43" t="s">
        <v>169</v>
      </c>
      <c r="D85" s="141">
        <v>1</v>
      </c>
      <c r="E85" s="141">
        <v>10.53</v>
      </c>
      <c r="F85" s="141">
        <v>1.47</v>
      </c>
      <c r="G85" s="141">
        <v>2.57</v>
      </c>
      <c r="H85" s="123">
        <v>1</v>
      </c>
      <c r="I85" s="123"/>
      <c r="J85" s="123"/>
      <c r="K85" s="123"/>
      <c r="L85" s="123"/>
      <c r="M85" s="123"/>
      <c r="N85" s="123"/>
      <c r="O85" s="123"/>
      <c r="P85" s="123"/>
    </row>
    <row r="86" spans="2:16" x14ac:dyDescent="0.2">
      <c r="B86" s="35" t="s">
        <v>16</v>
      </c>
      <c r="C86" s="43" t="s">
        <v>166</v>
      </c>
      <c r="D86" s="140">
        <v>1</v>
      </c>
      <c r="E86" s="140">
        <v>1</v>
      </c>
      <c r="F86" s="140">
        <v>1</v>
      </c>
      <c r="G86" s="140">
        <v>1</v>
      </c>
      <c r="H86" s="123">
        <v>1</v>
      </c>
      <c r="I86" s="123"/>
      <c r="J86" s="123"/>
      <c r="K86" s="123"/>
      <c r="L86" s="123"/>
      <c r="M86" s="123"/>
      <c r="N86" s="123"/>
      <c r="O86" s="123"/>
      <c r="P86" s="123"/>
    </row>
    <row r="87" spans="2:16" x14ac:dyDescent="0.2">
      <c r="C87" s="43" t="s">
        <v>167</v>
      </c>
      <c r="D87" s="141">
        <v>1</v>
      </c>
      <c r="E87" s="141">
        <v>1.66</v>
      </c>
      <c r="F87" s="141">
        <v>1</v>
      </c>
      <c r="G87" s="141">
        <v>1</v>
      </c>
      <c r="H87" s="123">
        <v>1</v>
      </c>
      <c r="I87" s="123"/>
      <c r="J87" s="123"/>
      <c r="K87" s="123"/>
      <c r="L87" s="123"/>
      <c r="M87" s="123"/>
      <c r="N87" s="123"/>
      <c r="O87" s="123"/>
      <c r="P87" s="123"/>
    </row>
    <row r="88" spans="2:16" x14ac:dyDescent="0.2">
      <c r="C88" s="43" t="s">
        <v>168</v>
      </c>
      <c r="D88" s="141">
        <v>1</v>
      </c>
      <c r="E88" s="141">
        <v>2.5</v>
      </c>
      <c r="F88" s="141">
        <v>1</v>
      </c>
      <c r="G88" s="141">
        <v>1</v>
      </c>
      <c r="H88" s="123">
        <v>1</v>
      </c>
      <c r="I88" s="123"/>
      <c r="J88" s="123"/>
      <c r="K88" s="123"/>
      <c r="L88" s="123"/>
      <c r="M88" s="123"/>
      <c r="N88" s="123"/>
      <c r="O88" s="123"/>
      <c r="P88" s="123"/>
    </row>
    <row r="89" spans="2:16" x14ac:dyDescent="0.2">
      <c r="C89" s="43" t="s">
        <v>169</v>
      </c>
      <c r="D89" s="141">
        <v>1</v>
      </c>
      <c r="E89" s="141">
        <v>14.97</v>
      </c>
      <c r="F89" s="141">
        <v>1.92</v>
      </c>
      <c r="G89" s="141">
        <v>1.92</v>
      </c>
      <c r="H89" s="123">
        <v>1</v>
      </c>
      <c r="I89" s="123"/>
      <c r="J89" s="123"/>
      <c r="K89" s="123"/>
      <c r="L89" s="123"/>
      <c r="M89" s="123"/>
      <c r="N89" s="123"/>
      <c r="O89" s="123"/>
      <c r="P89" s="123"/>
    </row>
    <row r="90" spans="2:16" x14ac:dyDescent="0.2">
      <c r="B90" s="35" t="s">
        <v>18</v>
      </c>
      <c r="C90" s="43" t="s">
        <v>166</v>
      </c>
      <c r="D90" s="140">
        <v>1</v>
      </c>
      <c r="E90" s="140">
        <v>1</v>
      </c>
      <c r="F90" s="140">
        <v>1</v>
      </c>
      <c r="G90" s="140">
        <v>1</v>
      </c>
      <c r="H90" s="123">
        <v>1</v>
      </c>
      <c r="I90" s="123"/>
      <c r="J90" s="123"/>
      <c r="K90" s="123"/>
      <c r="L90" s="123"/>
      <c r="M90" s="123"/>
      <c r="N90" s="123"/>
      <c r="O90" s="123"/>
      <c r="P90" s="123"/>
    </row>
    <row r="91" spans="2:16" x14ac:dyDescent="0.2">
      <c r="C91" s="43" t="s">
        <v>167</v>
      </c>
      <c r="D91" s="141">
        <v>1</v>
      </c>
      <c r="E91" s="141">
        <v>1.48</v>
      </c>
      <c r="F91" s="141">
        <v>1</v>
      </c>
      <c r="G91" s="141">
        <v>1</v>
      </c>
      <c r="H91" s="123">
        <v>1</v>
      </c>
      <c r="I91" s="123"/>
      <c r="J91" s="123"/>
      <c r="K91" s="123"/>
      <c r="L91" s="123"/>
      <c r="M91" s="123"/>
      <c r="N91" s="123"/>
      <c r="O91" s="123"/>
      <c r="P91" s="123"/>
    </row>
    <row r="92" spans="2:16" x14ac:dyDescent="0.2">
      <c r="C92" s="43" t="s">
        <v>168</v>
      </c>
      <c r="D92" s="141">
        <v>1</v>
      </c>
      <c r="E92" s="141">
        <v>2.84</v>
      </c>
      <c r="F92" s="141">
        <v>1</v>
      </c>
      <c r="G92" s="141">
        <v>1</v>
      </c>
      <c r="H92" s="123">
        <v>1</v>
      </c>
      <c r="I92" s="123"/>
      <c r="J92" s="123"/>
      <c r="K92" s="123"/>
      <c r="L92" s="123"/>
      <c r="M92" s="123"/>
      <c r="N92" s="123"/>
      <c r="O92" s="123"/>
      <c r="P92" s="123"/>
    </row>
    <row r="93" spans="2:16" x14ac:dyDescent="0.2">
      <c r="C93" s="43" t="s">
        <v>169</v>
      </c>
      <c r="D93" s="141">
        <v>1</v>
      </c>
      <c r="E93" s="141">
        <v>14.4</v>
      </c>
      <c r="F93" s="141">
        <v>3.69</v>
      </c>
      <c r="G93" s="141">
        <v>3.69</v>
      </c>
      <c r="H93" s="123">
        <v>1</v>
      </c>
      <c r="I93" s="123"/>
      <c r="J93" s="123"/>
      <c r="K93" s="123"/>
      <c r="L93" s="123"/>
      <c r="M93" s="123"/>
      <c r="N93" s="123"/>
      <c r="O93" s="123"/>
      <c r="P93" s="123"/>
    </row>
    <row r="94" spans="2:16" x14ac:dyDescent="0.2">
      <c r="B94" s="35" t="s">
        <v>17</v>
      </c>
      <c r="C94" s="43" t="s">
        <v>166</v>
      </c>
      <c r="D94" s="140">
        <v>1</v>
      </c>
      <c r="E94" s="140">
        <v>1</v>
      </c>
      <c r="F94" s="140">
        <v>1</v>
      </c>
      <c r="G94" s="140">
        <v>1</v>
      </c>
      <c r="H94" s="123">
        <v>1</v>
      </c>
      <c r="I94" s="123"/>
      <c r="J94" s="123"/>
      <c r="K94" s="123"/>
      <c r="L94" s="123"/>
      <c r="M94" s="123"/>
      <c r="N94" s="123"/>
      <c r="O94" s="123"/>
      <c r="P94" s="123"/>
    </row>
    <row r="95" spans="2:16" x14ac:dyDescent="0.2">
      <c r="C95" s="43" t="s">
        <v>167</v>
      </c>
      <c r="D95" s="141">
        <v>1</v>
      </c>
      <c r="E95" s="141">
        <v>1.48</v>
      </c>
      <c r="F95" s="141">
        <v>1</v>
      </c>
      <c r="G95" s="141">
        <v>1</v>
      </c>
      <c r="H95" s="123">
        <v>1</v>
      </c>
      <c r="I95" s="123"/>
      <c r="J95" s="123"/>
      <c r="K95" s="123"/>
      <c r="L95" s="123"/>
      <c r="M95" s="123"/>
      <c r="N95" s="123"/>
      <c r="O95" s="123"/>
      <c r="P95" s="123"/>
    </row>
    <row r="96" spans="2:16" x14ac:dyDescent="0.2">
      <c r="C96" s="43" t="s">
        <v>168</v>
      </c>
      <c r="D96" s="141">
        <v>1</v>
      </c>
      <c r="E96" s="141">
        <v>2.84</v>
      </c>
      <c r="F96" s="141">
        <v>1</v>
      </c>
      <c r="G96" s="141">
        <v>1</v>
      </c>
      <c r="H96" s="123">
        <v>1</v>
      </c>
      <c r="I96" s="123"/>
      <c r="J96" s="123"/>
      <c r="K96" s="123"/>
      <c r="L96" s="123"/>
      <c r="M96" s="123"/>
      <c r="N96" s="123"/>
      <c r="O96" s="123"/>
      <c r="P96" s="123"/>
    </row>
    <row r="97" spans="1:16" x14ac:dyDescent="0.2">
      <c r="C97" s="43" t="s">
        <v>169</v>
      </c>
      <c r="D97" s="141">
        <v>1</v>
      </c>
      <c r="E97" s="141">
        <v>14.4</v>
      </c>
      <c r="F97" s="141">
        <v>3.69</v>
      </c>
      <c r="G97" s="141">
        <v>3.69</v>
      </c>
      <c r="H97" s="123">
        <v>1</v>
      </c>
      <c r="I97" s="123"/>
      <c r="J97" s="123"/>
      <c r="K97" s="123"/>
      <c r="L97" s="123"/>
      <c r="M97" s="123"/>
      <c r="N97" s="123"/>
      <c r="O97" s="123"/>
      <c r="P97" s="123"/>
    </row>
    <row r="98" spans="1:16" x14ac:dyDescent="0.2">
      <c r="B98" s="35" t="s">
        <v>20</v>
      </c>
      <c r="C98" s="43" t="s">
        <v>166</v>
      </c>
      <c r="D98" s="140">
        <v>1</v>
      </c>
      <c r="E98" s="140">
        <v>1</v>
      </c>
      <c r="F98" s="140">
        <v>1</v>
      </c>
      <c r="G98" s="140">
        <v>1</v>
      </c>
      <c r="H98" s="123">
        <v>1</v>
      </c>
      <c r="I98" s="123"/>
      <c r="J98" s="123"/>
      <c r="K98" s="123"/>
      <c r="L98" s="123"/>
      <c r="M98" s="123"/>
      <c r="N98" s="123"/>
      <c r="O98" s="123"/>
      <c r="P98" s="123"/>
    </row>
    <row r="99" spans="1:16" x14ac:dyDescent="0.2">
      <c r="C99" s="43" t="s">
        <v>167</v>
      </c>
      <c r="D99" s="141">
        <v>1</v>
      </c>
      <c r="E99" s="141">
        <v>1.48</v>
      </c>
      <c r="F99" s="141">
        <v>1</v>
      </c>
      <c r="G99" s="141">
        <v>1</v>
      </c>
      <c r="H99" s="123">
        <v>1</v>
      </c>
      <c r="I99" s="123"/>
      <c r="J99" s="123"/>
      <c r="K99" s="123"/>
      <c r="L99" s="123"/>
      <c r="M99" s="123"/>
      <c r="N99" s="123"/>
      <c r="O99" s="123"/>
      <c r="P99" s="123"/>
    </row>
    <row r="100" spans="1:16" x14ac:dyDescent="0.2">
      <c r="C100" s="43" t="s">
        <v>168</v>
      </c>
      <c r="D100" s="141">
        <v>1</v>
      </c>
      <c r="E100" s="141">
        <v>2.84</v>
      </c>
      <c r="F100" s="141">
        <v>1</v>
      </c>
      <c r="G100" s="141">
        <v>1</v>
      </c>
      <c r="H100" s="123">
        <v>1</v>
      </c>
      <c r="I100" s="123"/>
      <c r="J100" s="123"/>
      <c r="K100" s="123"/>
      <c r="L100" s="123"/>
      <c r="M100" s="123"/>
      <c r="N100" s="123"/>
      <c r="O100" s="123"/>
      <c r="P100" s="123"/>
    </row>
    <row r="101" spans="1:16" x14ac:dyDescent="0.2">
      <c r="C101" s="43" t="s">
        <v>169</v>
      </c>
      <c r="D101" s="141">
        <v>1</v>
      </c>
      <c r="E101" s="141">
        <v>14.4</v>
      </c>
      <c r="F101" s="141">
        <v>3.69</v>
      </c>
      <c r="G101" s="141">
        <v>3.69</v>
      </c>
      <c r="H101" s="123">
        <v>1</v>
      </c>
      <c r="I101" s="123"/>
      <c r="J101" s="123"/>
      <c r="K101" s="123"/>
      <c r="L101" s="123"/>
      <c r="M101" s="123"/>
      <c r="N101" s="123"/>
      <c r="O101" s="123"/>
      <c r="P101" s="123"/>
    </row>
    <row r="103" spans="1:16" s="105" customFormat="1" x14ac:dyDescent="0.2">
      <c r="A103" s="104" t="s">
        <v>248</v>
      </c>
    </row>
    <row r="104" spans="1:16" s="36" customFormat="1" ht="25.5" x14ac:dyDescent="0.2">
      <c r="A104" s="126" t="s">
        <v>71</v>
      </c>
      <c r="B104" s="131" t="s">
        <v>169</v>
      </c>
      <c r="C104" s="128" t="s">
        <v>247</v>
      </c>
      <c r="D104" s="108" t="s">
        <v>1</v>
      </c>
      <c r="E104" s="108" t="s">
        <v>2</v>
      </c>
      <c r="F104" s="108" t="s">
        <v>3</v>
      </c>
      <c r="G104" s="108" t="s">
        <v>4</v>
      </c>
      <c r="H104" s="129" t="s">
        <v>5</v>
      </c>
      <c r="I104" s="125"/>
      <c r="J104" s="125"/>
      <c r="K104" s="125"/>
      <c r="L104" s="125"/>
      <c r="M104" s="125"/>
      <c r="N104" s="125"/>
      <c r="O104" s="125"/>
      <c r="P104" s="125"/>
    </row>
    <row r="105" spans="1:16" x14ac:dyDescent="0.2">
      <c r="A105" s="40"/>
      <c r="B105" s="36"/>
      <c r="C105" s="43" t="s">
        <v>166</v>
      </c>
      <c r="D105" s="140">
        <v>1</v>
      </c>
      <c r="E105" s="140">
        <v>1</v>
      </c>
      <c r="F105" s="140">
        <v>1</v>
      </c>
      <c r="G105" s="140">
        <v>1</v>
      </c>
      <c r="H105" s="123">
        <v>1</v>
      </c>
      <c r="I105" s="123"/>
      <c r="J105" s="123"/>
      <c r="K105" s="123"/>
      <c r="L105" s="123"/>
      <c r="M105" s="123"/>
      <c r="N105" s="123"/>
      <c r="O105" s="123"/>
      <c r="P105" s="123"/>
    </row>
    <row r="106" spans="1:16" x14ac:dyDescent="0.2">
      <c r="C106" s="43" t="s">
        <v>167</v>
      </c>
      <c r="D106" s="141">
        <v>1.26</v>
      </c>
      <c r="E106" s="141">
        <v>1.26</v>
      </c>
      <c r="F106" s="141">
        <v>1</v>
      </c>
      <c r="G106" s="141">
        <v>1</v>
      </c>
      <c r="H106" s="123">
        <v>1</v>
      </c>
      <c r="I106" s="123"/>
      <c r="J106" s="123"/>
      <c r="K106" s="123"/>
      <c r="L106" s="123"/>
      <c r="M106" s="123"/>
      <c r="N106" s="123"/>
      <c r="O106" s="123"/>
      <c r="P106" s="123"/>
    </row>
    <row r="107" spans="1:16" x14ac:dyDescent="0.2">
      <c r="C107" s="43" t="s">
        <v>168</v>
      </c>
      <c r="D107" s="141">
        <v>1.68</v>
      </c>
      <c r="E107" s="141">
        <v>1.68</v>
      </c>
      <c r="F107" s="141">
        <v>1</v>
      </c>
      <c r="G107" s="141">
        <v>1</v>
      </c>
      <c r="H107" s="123">
        <v>1</v>
      </c>
      <c r="I107" s="123"/>
      <c r="J107" s="123"/>
      <c r="K107" s="123"/>
      <c r="L107" s="123"/>
      <c r="M107" s="123"/>
      <c r="N107" s="123"/>
      <c r="O107" s="123"/>
      <c r="P107" s="123"/>
    </row>
    <row r="108" spans="1:16" x14ac:dyDescent="0.2">
      <c r="C108" s="43" t="s">
        <v>169</v>
      </c>
      <c r="D108" s="141">
        <v>2.65</v>
      </c>
      <c r="E108" s="141">
        <v>2.65</v>
      </c>
      <c r="F108" s="141">
        <v>2.0699999999999998</v>
      </c>
      <c r="G108" s="141">
        <v>2.0699999999999998</v>
      </c>
      <c r="H108" s="123">
        <v>1</v>
      </c>
      <c r="I108" s="123"/>
      <c r="J108" s="123"/>
      <c r="K108" s="123"/>
      <c r="L108" s="123"/>
      <c r="M108" s="123"/>
      <c r="N108" s="123"/>
      <c r="O108" s="123"/>
      <c r="P108" s="123"/>
    </row>
    <row r="111" spans="1:16" x14ac:dyDescent="0.2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109375" defaultRowHeight="12.75" x14ac:dyDescent="0.2"/>
  <cols>
    <col min="1" max="1" width="25.7109375" style="35" customWidth="1"/>
    <col min="2" max="2" width="44.42578125" style="35" customWidth="1"/>
    <col min="3" max="3" width="17.7109375" style="35" customWidth="1"/>
    <col min="4" max="4" width="17.5703125" style="35" customWidth="1"/>
    <col min="5" max="5" width="17.28515625" style="35" customWidth="1"/>
    <col min="6" max="6" width="15" style="35" customWidth="1"/>
    <col min="7" max="7" width="13.7109375" style="35" customWidth="1"/>
    <col min="8" max="16384" width="12.7109375" style="35"/>
  </cols>
  <sheetData>
    <row r="1" spans="1:7" s="105" customFormat="1" ht="14.25" customHeight="1" x14ac:dyDescent="0.2">
      <c r="A1" s="104" t="s">
        <v>249</v>
      </c>
    </row>
    <row r="2" spans="1:7" ht="14.25" customHeight="1" x14ac:dyDescent="0.2">
      <c r="A2" s="130" t="s">
        <v>25</v>
      </c>
      <c r="B2" s="124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">
      <c r="B3" s="118" t="s">
        <v>250</v>
      </c>
      <c r="C3" s="141" t="s">
        <v>251</v>
      </c>
      <c r="D3" s="141">
        <v>45</v>
      </c>
      <c r="E3" s="141">
        <v>361.6</v>
      </c>
      <c r="F3" s="141">
        <v>174.7</v>
      </c>
      <c r="G3" s="141">
        <v>174.7</v>
      </c>
    </row>
    <row r="4" spans="1:7" ht="14.25" customHeight="1" x14ac:dyDescent="0.2">
      <c r="A4" s="40"/>
      <c r="B4" s="122" t="s">
        <v>252</v>
      </c>
      <c r="C4" s="141">
        <v>1.0249999999999999</v>
      </c>
      <c r="D4" s="141">
        <v>1.0249999999999999</v>
      </c>
      <c r="E4" s="141">
        <v>1.0249999999999999</v>
      </c>
      <c r="F4" s="141">
        <v>1.0249999999999999</v>
      </c>
      <c r="G4" s="141">
        <v>1.0249999999999999</v>
      </c>
    </row>
    <row r="5" spans="1:7" ht="14.25" customHeight="1" x14ac:dyDescent="0.2">
      <c r="A5" s="109" t="s">
        <v>253</v>
      </c>
    </row>
    <row r="6" spans="1:7" ht="14.25" customHeight="1" x14ac:dyDescent="0.2">
      <c r="B6" s="122" t="s">
        <v>58</v>
      </c>
      <c r="C6" s="141">
        <v>1</v>
      </c>
      <c r="D6" s="141">
        <v>1</v>
      </c>
      <c r="E6" s="141">
        <v>0.89</v>
      </c>
      <c r="F6" s="141">
        <v>0.89</v>
      </c>
      <c r="G6" s="141">
        <v>1</v>
      </c>
    </row>
    <row r="7" spans="1:7" ht="14.25" customHeight="1" x14ac:dyDescent="0.2">
      <c r="B7" s="122" t="s">
        <v>136</v>
      </c>
      <c r="C7" s="141">
        <v>1</v>
      </c>
      <c r="D7" s="141">
        <v>1</v>
      </c>
      <c r="E7" s="141">
        <v>0.89</v>
      </c>
      <c r="F7" s="141">
        <v>0.89</v>
      </c>
      <c r="G7" s="141">
        <v>1</v>
      </c>
    </row>
    <row r="8" spans="1:7" ht="14.25" customHeight="1" x14ac:dyDescent="0.2">
      <c r="B8" s="122" t="s">
        <v>60</v>
      </c>
      <c r="C8" s="141">
        <v>1</v>
      </c>
      <c r="D8" s="141">
        <v>1</v>
      </c>
      <c r="E8" s="141">
        <v>1</v>
      </c>
      <c r="F8" s="141">
        <v>1</v>
      </c>
      <c r="G8" s="141">
        <v>1</v>
      </c>
    </row>
    <row r="9" spans="1:7" ht="14.25" customHeight="1" x14ac:dyDescent="0.2">
      <c r="B9" s="122"/>
      <c r="C9" s="122"/>
      <c r="D9" s="122"/>
      <c r="E9" s="122"/>
      <c r="F9" s="122"/>
      <c r="G9" s="122"/>
    </row>
    <row r="10" spans="1:7" s="105" customFormat="1" ht="14.25" customHeight="1" x14ac:dyDescent="0.2">
      <c r="A10" s="104" t="s">
        <v>254</v>
      </c>
    </row>
    <row r="11" spans="1:7" ht="14.25" customHeight="1" x14ac:dyDescent="0.2">
      <c r="A11" s="109"/>
      <c r="B11" s="118" t="s">
        <v>196</v>
      </c>
      <c r="C11" s="141">
        <v>1.5</v>
      </c>
      <c r="D11" s="141">
        <v>1.39</v>
      </c>
      <c r="E11" s="141">
        <v>1</v>
      </c>
      <c r="F11" s="141">
        <v>1</v>
      </c>
      <c r="G11" s="141">
        <v>1</v>
      </c>
    </row>
    <row r="12" spans="1:7" ht="14.25" customHeight="1" x14ac:dyDescent="0.2">
      <c r="A12" s="109"/>
      <c r="B12" s="118"/>
    </row>
    <row r="13" spans="1:7" s="105" customFormat="1" ht="14.25" customHeight="1" x14ac:dyDescent="0.2">
      <c r="A13" s="104" t="s">
        <v>255</v>
      </c>
    </row>
    <row r="14" spans="1:7" ht="14.25" customHeight="1" x14ac:dyDescent="0.2">
      <c r="A14" s="130" t="s">
        <v>240</v>
      </c>
      <c r="B14" s="122" t="s">
        <v>256</v>
      </c>
      <c r="C14" s="141">
        <v>1.0249999999999999</v>
      </c>
      <c r="D14" s="141">
        <v>1.0249999999999999</v>
      </c>
      <c r="E14" s="141">
        <v>1.0249999999999999</v>
      </c>
      <c r="F14" s="141">
        <v>1.0249999999999999</v>
      </c>
      <c r="G14" s="141">
        <v>1.0249999999999999</v>
      </c>
    </row>
    <row r="15" spans="1:7" ht="14.25" customHeight="1" x14ac:dyDescent="0.2">
      <c r="A15" s="40"/>
      <c r="B15" s="122" t="s">
        <v>257</v>
      </c>
      <c r="C15" s="141">
        <v>1.0249999999999999</v>
      </c>
      <c r="D15" s="141">
        <v>1.0249999999999999</v>
      </c>
      <c r="E15" s="141">
        <v>1.0249999999999999</v>
      </c>
      <c r="F15" s="141">
        <v>1.0249999999999999</v>
      </c>
      <c r="G15" s="141">
        <v>1.0249999999999999</v>
      </c>
    </row>
    <row r="16" spans="1:7" ht="14.25" customHeight="1" x14ac:dyDescent="0.2">
      <c r="A16" s="130" t="s">
        <v>70</v>
      </c>
      <c r="B16" s="118" t="s">
        <v>258</v>
      </c>
      <c r="C16" s="141">
        <v>1</v>
      </c>
      <c r="D16" s="141">
        <v>1</v>
      </c>
      <c r="E16" s="141">
        <v>1</v>
      </c>
      <c r="F16" s="141">
        <v>1</v>
      </c>
      <c r="G16" s="141">
        <v>1</v>
      </c>
    </row>
    <row r="17" spans="1:6" ht="14.25" customHeight="1" x14ac:dyDescent="0.2"/>
    <row r="18" spans="1:6" s="105" customFormat="1" ht="14.25" customHeight="1" x14ac:dyDescent="0.2">
      <c r="A18" s="104" t="s">
        <v>259</v>
      </c>
    </row>
    <row r="19" spans="1:6" s="109" customFormat="1" ht="14.25" customHeight="1" x14ac:dyDescent="0.2">
      <c r="C19" s="59" t="s">
        <v>49</v>
      </c>
      <c r="D19" s="59" t="s">
        <v>50</v>
      </c>
      <c r="E19" s="59" t="s">
        <v>51</v>
      </c>
      <c r="F19" s="59" t="s">
        <v>52</v>
      </c>
    </row>
    <row r="20" spans="1:6" x14ac:dyDescent="0.2">
      <c r="B20" s="118" t="s">
        <v>198</v>
      </c>
      <c r="C20" s="141">
        <v>1.52</v>
      </c>
      <c r="D20" s="141">
        <v>1</v>
      </c>
      <c r="E20" s="141">
        <v>1</v>
      </c>
      <c r="F20" s="14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F20"/>
  <sheetViews>
    <sheetView workbookViewId="0">
      <selection activeCell="F8" sqref="F8"/>
    </sheetView>
  </sheetViews>
  <sheetFormatPr defaultColWidth="16.140625" defaultRowHeight="15.75" customHeight="1" x14ac:dyDescent="0.2"/>
  <cols>
    <col min="1" max="1" width="52.28515625" style="35" customWidth="1"/>
    <col min="2" max="6" width="16.140625" style="35"/>
    <col min="7" max="7" width="17.28515625" style="35" customWidth="1"/>
    <col min="8" max="8" width="16.140625" style="35" customWidth="1"/>
    <col min="9" max="16384" width="16.140625" style="35"/>
  </cols>
  <sheetData>
    <row r="1" spans="1:6" ht="15.75" customHeight="1" x14ac:dyDescent="0.2">
      <c r="A1" s="124" t="s">
        <v>69</v>
      </c>
      <c r="B1" s="40"/>
      <c r="C1" s="40" t="s">
        <v>9</v>
      </c>
      <c r="D1" s="40" t="s">
        <v>12</v>
      </c>
      <c r="E1" s="40" t="s">
        <v>11</v>
      </c>
      <c r="F1" s="124" t="s">
        <v>26</v>
      </c>
    </row>
    <row r="2" spans="1:6" ht="15.75" customHeight="1" x14ac:dyDescent="0.2">
      <c r="A2" s="95" t="s">
        <v>29</v>
      </c>
      <c r="B2" s="95" t="s">
        <v>260</v>
      </c>
      <c r="C2" s="141">
        <v>0.21</v>
      </c>
      <c r="D2" s="141">
        <v>0.21</v>
      </c>
      <c r="E2" s="141">
        <v>0</v>
      </c>
      <c r="F2" s="141">
        <v>0</v>
      </c>
    </row>
    <row r="3" spans="1:6" ht="15.75" customHeight="1" x14ac:dyDescent="0.2">
      <c r="A3" s="95"/>
      <c r="B3" s="95" t="s">
        <v>261</v>
      </c>
      <c r="C3" s="141">
        <v>1</v>
      </c>
      <c r="D3" s="141">
        <v>1</v>
      </c>
      <c r="E3" s="141">
        <v>1</v>
      </c>
      <c r="F3" s="141">
        <v>1</v>
      </c>
    </row>
    <row r="4" spans="1:6" ht="15.75" customHeight="1" x14ac:dyDescent="0.2">
      <c r="A4" s="95" t="s">
        <v>187</v>
      </c>
      <c r="B4" s="95" t="s">
        <v>260</v>
      </c>
      <c r="C4" s="141">
        <v>0.15</v>
      </c>
      <c r="D4" s="141">
        <v>0.15</v>
      </c>
      <c r="E4" s="141">
        <v>0</v>
      </c>
      <c r="F4" s="141">
        <v>0</v>
      </c>
    </row>
    <row r="5" spans="1:6" ht="15.75" customHeight="1" x14ac:dyDescent="0.2">
      <c r="A5" s="95"/>
      <c r="B5" s="95" t="s">
        <v>261</v>
      </c>
      <c r="C5" s="141">
        <v>1</v>
      </c>
      <c r="D5" s="141">
        <v>1</v>
      </c>
      <c r="E5" s="141">
        <v>1</v>
      </c>
      <c r="F5" s="141">
        <v>1</v>
      </c>
    </row>
    <row r="6" spans="1:6" ht="15.75" customHeight="1" x14ac:dyDescent="0.2">
      <c r="A6" s="95" t="s">
        <v>209</v>
      </c>
      <c r="B6" s="95" t="s">
        <v>260</v>
      </c>
      <c r="C6" s="141">
        <v>0.15</v>
      </c>
      <c r="D6" s="141">
        <v>0.15</v>
      </c>
      <c r="E6" s="141">
        <v>0</v>
      </c>
      <c r="F6" s="141">
        <v>0</v>
      </c>
    </row>
    <row r="7" spans="1:6" ht="15.75" customHeight="1" x14ac:dyDescent="0.2">
      <c r="A7" s="95"/>
      <c r="B7" s="95" t="s">
        <v>261</v>
      </c>
      <c r="C7" s="141">
        <v>1</v>
      </c>
      <c r="D7" s="141">
        <v>1</v>
      </c>
      <c r="E7" s="141">
        <v>1</v>
      </c>
      <c r="F7" s="141">
        <v>1</v>
      </c>
    </row>
    <row r="8" spans="1:6" ht="15.75" customHeight="1" x14ac:dyDescent="0.2">
      <c r="A8" s="95" t="s">
        <v>57</v>
      </c>
      <c r="B8" s="95" t="s">
        <v>260</v>
      </c>
      <c r="C8" s="141">
        <v>0.35</v>
      </c>
      <c r="D8" s="141">
        <v>0.35</v>
      </c>
      <c r="E8" s="141">
        <v>0</v>
      </c>
      <c r="F8" s="141">
        <v>0</v>
      </c>
    </row>
    <row r="9" spans="1:6" ht="15.75" customHeight="1" x14ac:dyDescent="0.2">
      <c r="A9" s="95"/>
      <c r="B9" s="95" t="s">
        <v>261</v>
      </c>
      <c r="C9" s="141">
        <v>1</v>
      </c>
      <c r="D9" s="141">
        <v>1</v>
      </c>
      <c r="E9" s="141">
        <v>0</v>
      </c>
      <c r="F9" s="141">
        <v>0</v>
      </c>
    </row>
    <row r="10" spans="1:6" ht="15.75" customHeight="1" x14ac:dyDescent="0.2">
      <c r="A10" s="95" t="s">
        <v>34</v>
      </c>
      <c r="B10" s="95" t="s">
        <v>260</v>
      </c>
      <c r="C10" s="141">
        <v>0.35</v>
      </c>
      <c r="D10" s="141">
        <v>0.35</v>
      </c>
      <c r="E10" s="141">
        <v>0</v>
      </c>
      <c r="F10" s="141">
        <v>0</v>
      </c>
    </row>
    <row r="11" spans="1:6" ht="15.75" customHeight="1" x14ac:dyDescent="0.2">
      <c r="A11" s="95"/>
      <c r="B11" s="95" t="s">
        <v>261</v>
      </c>
      <c r="C11" s="141">
        <v>1</v>
      </c>
      <c r="D11" s="141">
        <v>1</v>
      </c>
      <c r="E11" s="141">
        <v>0</v>
      </c>
      <c r="F11" s="141">
        <v>0</v>
      </c>
    </row>
    <row r="12" spans="1:6" ht="15.75" customHeight="1" x14ac:dyDescent="0.2">
      <c r="A12" s="95" t="s">
        <v>59</v>
      </c>
      <c r="B12" s="95" t="s">
        <v>260</v>
      </c>
      <c r="C12" s="141">
        <v>0.23</v>
      </c>
      <c r="D12" s="141">
        <v>0.23</v>
      </c>
      <c r="E12" s="141">
        <v>0</v>
      </c>
      <c r="F12" s="141">
        <v>0</v>
      </c>
    </row>
    <row r="13" spans="1:6" ht="15.75" customHeight="1" x14ac:dyDescent="0.2">
      <c r="A13" s="95"/>
      <c r="B13" s="95" t="s">
        <v>261</v>
      </c>
      <c r="C13" s="141">
        <v>1</v>
      </c>
      <c r="D13" s="141">
        <v>1</v>
      </c>
      <c r="E13" s="141">
        <v>1</v>
      </c>
      <c r="F13" s="141">
        <v>1</v>
      </c>
    </row>
    <row r="19" spans="1:1" ht="15.75" customHeight="1" x14ac:dyDescent="0.2">
      <c r="A19" s="95"/>
    </row>
    <row r="20" spans="1:1" ht="15.75" customHeight="1" x14ac:dyDescent="0.2">
      <c r="A20" s="95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O28"/>
  <sheetViews>
    <sheetView topLeftCell="G1" workbookViewId="0">
      <selection activeCell="F8" sqref="F8"/>
    </sheetView>
  </sheetViews>
  <sheetFormatPr defaultColWidth="12.7109375" defaultRowHeight="12.75" x14ac:dyDescent="0.2"/>
  <cols>
    <col min="1" max="1" width="22.5703125" style="35" customWidth="1"/>
    <col min="2" max="2" width="58.85546875" style="35" bestFit="1" customWidth="1"/>
    <col min="3" max="15" width="15" style="35" customWidth="1"/>
    <col min="16" max="16384" width="12.7109375" style="35"/>
  </cols>
  <sheetData>
    <row r="1" spans="1:15" ht="35.25" customHeight="1" x14ac:dyDescent="0.2">
      <c r="A1" s="40"/>
      <c r="B1" s="40"/>
      <c r="C1" s="108" t="s">
        <v>1</v>
      </c>
      <c r="D1" s="108" t="s">
        <v>2</v>
      </c>
      <c r="E1" s="108" t="s">
        <v>3</v>
      </c>
      <c r="F1" s="108" t="s">
        <v>4</v>
      </c>
      <c r="G1" s="108" t="s">
        <v>5</v>
      </c>
      <c r="H1" s="108" t="s">
        <v>49</v>
      </c>
      <c r="I1" s="108" t="s">
        <v>50</v>
      </c>
      <c r="J1" s="108" t="s">
        <v>51</v>
      </c>
      <c r="K1" s="108" t="s">
        <v>52</v>
      </c>
      <c r="L1" s="108" t="s">
        <v>53</v>
      </c>
      <c r="M1" s="108" t="s">
        <v>54</v>
      </c>
      <c r="N1" s="108" t="s">
        <v>55</v>
      </c>
      <c r="O1" s="108" t="s">
        <v>56</v>
      </c>
    </row>
    <row r="2" spans="1:15" x14ac:dyDescent="0.2">
      <c r="A2" s="40" t="s">
        <v>262</v>
      </c>
    </row>
    <row r="3" spans="1:15" x14ac:dyDescent="0.2">
      <c r="B3" s="63" t="s">
        <v>149</v>
      </c>
      <c r="C3" s="141">
        <v>0.53</v>
      </c>
      <c r="D3" s="141">
        <v>0.53</v>
      </c>
      <c r="E3" s="141">
        <v>1</v>
      </c>
      <c r="F3" s="141">
        <v>1</v>
      </c>
      <c r="G3" s="141">
        <v>1</v>
      </c>
      <c r="H3" s="141">
        <v>1</v>
      </c>
      <c r="I3" s="141">
        <v>1</v>
      </c>
      <c r="J3" s="141">
        <v>1</v>
      </c>
      <c r="K3" s="141">
        <v>1</v>
      </c>
      <c r="L3" s="141">
        <v>1</v>
      </c>
      <c r="M3" s="141">
        <v>1</v>
      </c>
      <c r="N3" s="141">
        <v>1</v>
      </c>
      <c r="O3" s="141">
        <v>1</v>
      </c>
    </row>
    <row r="4" spans="1:15" x14ac:dyDescent="0.2">
      <c r="B4" s="63" t="s">
        <v>188</v>
      </c>
      <c r="C4" s="141">
        <v>1</v>
      </c>
      <c r="D4" s="141">
        <v>1</v>
      </c>
      <c r="E4" s="141">
        <v>1</v>
      </c>
      <c r="F4" s="141">
        <v>1</v>
      </c>
      <c r="G4" s="141">
        <v>1</v>
      </c>
      <c r="H4" s="141">
        <v>0.73</v>
      </c>
      <c r="I4" s="141">
        <v>0.73</v>
      </c>
      <c r="J4" s="141">
        <v>0.73</v>
      </c>
      <c r="K4" s="141">
        <v>0.73</v>
      </c>
      <c r="L4" s="141">
        <v>1</v>
      </c>
      <c r="M4" s="141">
        <v>1</v>
      </c>
      <c r="N4" s="141">
        <v>1</v>
      </c>
      <c r="O4" s="141">
        <v>1</v>
      </c>
    </row>
    <row r="5" spans="1:15" x14ac:dyDescent="0.2">
      <c r="B5" s="63" t="s">
        <v>208</v>
      </c>
      <c r="C5" s="141">
        <v>1</v>
      </c>
      <c r="D5" s="141">
        <v>1</v>
      </c>
      <c r="E5" s="141">
        <v>1</v>
      </c>
      <c r="F5" s="141">
        <v>1</v>
      </c>
      <c r="G5" s="141">
        <v>1</v>
      </c>
      <c r="H5" s="141">
        <v>0.73</v>
      </c>
      <c r="I5" s="141">
        <v>0.73</v>
      </c>
      <c r="J5" s="141">
        <v>0.73</v>
      </c>
      <c r="K5" s="141">
        <v>0.73</v>
      </c>
      <c r="L5" s="141">
        <v>1</v>
      </c>
      <c r="M5" s="141">
        <v>1</v>
      </c>
      <c r="N5" s="141">
        <v>1</v>
      </c>
      <c r="O5" s="141">
        <v>1</v>
      </c>
    </row>
    <row r="6" spans="1:15" x14ac:dyDescent="0.2">
      <c r="B6" s="63" t="s">
        <v>189</v>
      </c>
      <c r="C6" s="141">
        <v>1</v>
      </c>
      <c r="D6" s="141">
        <v>1</v>
      </c>
      <c r="E6" s="141">
        <v>1</v>
      </c>
      <c r="F6" s="141">
        <v>1</v>
      </c>
      <c r="G6" s="141">
        <v>1</v>
      </c>
      <c r="H6" s="141">
        <v>0.73</v>
      </c>
      <c r="I6" s="141">
        <v>0.73</v>
      </c>
      <c r="J6" s="141">
        <v>0.73</v>
      </c>
      <c r="K6" s="141">
        <v>0.73</v>
      </c>
      <c r="L6" s="141">
        <v>1</v>
      </c>
      <c r="M6" s="141">
        <v>1</v>
      </c>
      <c r="N6" s="141">
        <v>1</v>
      </c>
      <c r="O6" s="141">
        <v>1</v>
      </c>
    </row>
    <row r="7" spans="1:15" x14ac:dyDescent="0.2">
      <c r="B7" s="63" t="s">
        <v>190</v>
      </c>
      <c r="C7" s="141">
        <v>1</v>
      </c>
      <c r="D7" s="141">
        <v>1</v>
      </c>
      <c r="E7" s="141">
        <v>1</v>
      </c>
      <c r="F7" s="141">
        <v>1</v>
      </c>
      <c r="G7" s="141">
        <v>1</v>
      </c>
      <c r="H7" s="141">
        <v>0.73</v>
      </c>
      <c r="I7" s="141">
        <v>0.73</v>
      </c>
      <c r="J7" s="141">
        <v>0.73</v>
      </c>
      <c r="K7" s="141">
        <v>0.73</v>
      </c>
      <c r="L7" s="141">
        <v>1</v>
      </c>
      <c r="M7" s="141">
        <v>1</v>
      </c>
      <c r="N7" s="141">
        <v>1</v>
      </c>
      <c r="O7" s="141">
        <v>1</v>
      </c>
    </row>
    <row r="8" spans="1:15" x14ac:dyDescent="0.2">
      <c r="B8" s="95" t="s">
        <v>187</v>
      </c>
      <c r="C8" s="141">
        <v>1</v>
      </c>
      <c r="D8" s="141">
        <v>1</v>
      </c>
      <c r="E8" s="141">
        <v>1</v>
      </c>
      <c r="F8" s="141">
        <v>1</v>
      </c>
      <c r="G8" s="141">
        <v>1</v>
      </c>
      <c r="H8" s="141">
        <v>1</v>
      </c>
      <c r="I8" s="141">
        <v>1</v>
      </c>
      <c r="J8" s="141">
        <v>1</v>
      </c>
      <c r="K8" s="141">
        <v>1</v>
      </c>
      <c r="L8" s="141">
        <v>0.33</v>
      </c>
      <c r="M8" s="141">
        <v>0.33</v>
      </c>
      <c r="N8" s="141">
        <v>0.33</v>
      </c>
      <c r="O8" s="141">
        <v>0.33</v>
      </c>
    </row>
    <row r="9" spans="1:15" x14ac:dyDescent="0.2">
      <c r="B9" s="95" t="s">
        <v>209</v>
      </c>
      <c r="C9" s="141">
        <v>1</v>
      </c>
      <c r="D9" s="141">
        <v>1</v>
      </c>
      <c r="E9" s="141">
        <v>1</v>
      </c>
      <c r="F9" s="141">
        <v>1</v>
      </c>
      <c r="G9" s="141">
        <v>1</v>
      </c>
      <c r="H9" s="141">
        <v>1</v>
      </c>
      <c r="I9" s="141">
        <v>1</v>
      </c>
      <c r="J9" s="141">
        <v>1</v>
      </c>
      <c r="K9" s="141">
        <v>1</v>
      </c>
      <c r="L9" s="141">
        <v>0.33</v>
      </c>
      <c r="M9" s="141">
        <v>0.33</v>
      </c>
      <c r="N9" s="141">
        <v>0.33</v>
      </c>
      <c r="O9" s="141">
        <v>0.33</v>
      </c>
    </row>
    <row r="10" spans="1:15" x14ac:dyDescent="0.2">
      <c r="B10" s="63" t="s">
        <v>57</v>
      </c>
      <c r="C10" s="141">
        <v>1</v>
      </c>
      <c r="D10" s="141">
        <v>1</v>
      </c>
      <c r="E10" s="141">
        <v>1</v>
      </c>
      <c r="F10" s="141">
        <v>1</v>
      </c>
      <c r="G10" s="141">
        <v>1</v>
      </c>
      <c r="H10" s="141">
        <v>1</v>
      </c>
      <c r="I10" s="141">
        <v>1</v>
      </c>
      <c r="J10" s="141">
        <v>1</v>
      </c>
      <c r="K10" s="141">
        <v>1</v>
      </c>
      <c r="L10" s="141">
        <v>0.83</v>
      </c>
      <c r="M10" s="141">
        <v>0.83</v>
      </c>
      <c r="N10" s="141">
        <v>0.83</v>
      </c>
      <c r="O10" s="141">
        <v>0.83</v>
      </c>
    </row>
    <row r="11" spans="1:15" x14ac:dyDescent="0.2">
      <c r="B11" s="95" t="s">
        <v>136</v>
      </c>
      <c r="C11" s="141">
        <v>1</v>
      </c>
      <c r="D11" s="141">
        <v>1</v>
      </c>
      <c r="E11" s="141">
        <v>0.69</v>
      </c>
      <c r="F11" s="141">
        <v>0.69</v>
      </c>
      <c r="G11" s="141">
        <v>1</v>
      </c>
      <c r="H11" s="141">
        <v>1</v>
      </c>
      <c r="I11" s="141">
        <v>1</v>
      </c>
      <c r="J11" s="141">
        <v>1</v>
      </c>
      <c r="K11" s="141">
        <v>1</v>
      </c>
      <c r="L11" s="141">
        <v>1</v>
      </c>
      <c r="M11" s="141">
        <v>1</v>
      </c>
      <c r="N11" s="141">
        <v>1</v>
      </c>
      <c r="O11" s="141">
        <v>1</v>
      </c>
    </row>
    <row r="12" spans="1:15" x14ac:dyDescent="0.2">
      <c r="B12" s="63" t="s">
        <v>34</v>
      </c>
      <c r="C12" s="141">
        <v>0.83</v>
      </c>
      <c r="D12" s="141">
        <v>0.83</v>
      </c>
      <c r="E12" s="141">
        <v>0.83</v>
      </c>
      <c r="F12" s="141">
        <v>0.83</v>
      </c>
      <c r="G12" s="141">
        <v>0.83</v>
      </c>
      <c r="H12" s="141">
        <v>0.83</v>
      </c>
      <c r="I12" s="141">
        <v>0.83</v>
      </c>
      <c r="J12" s="141">
        <v>0.83</v>
      </c>
      <c r="K12" s="141">
        <v>0.83</v>
      </c>
      <c r="L12" s="141">
        <v>0.83</v>
      </c>
      <c r="M12" s="141">
        <v>0.83</v>
      </c>
      <c r="N12" s="141">
        <v>0.83</v>
      </c>
      <c r="O12" s="141">
        <v>0.83</v>
      </c>
    </row>
    <row r="13" spans="1:15" ht="13.15" customHeight="1" x14ac:dyDescent="0.2">
      <c r="B13" s="63" t="s">
        <v>137</v>
      </c>
      <c r="C13" s="141">
        <v>1</v>
      </c>
      <c r="D13" s="141">
        <v>1</v>
      </c>
      <c r="E13" s="141">
        <v>0.69</v>
      </c>
      <c r="F13" s="141">
        <v>0.69</v>
      </c>
      <c r="G13" s="141">
        <v>0.69</v>
      </c>
      <c r="H13" s="141">
        <v>1</v>
      </c>
      <c r="I13" s="141">
        <v>1</v>
      </c>
      <c r="J13" s="141">
        <v>1</v>
      </c>
      <c r="K13" s="141">
        <v>1</v>
      </c>
      <c r="L13" s="141">
        <v>1</v>
      </c>
      <c r="M13" s="141">
        <v>1</v>
      </c>
      <c r="N13" s="141">
        <v>1</v>
      </c>
      <c r="O13" s="141">
        <v>1</v>
      </c>
    </row>
    <row r="14" spans="1:15" x14ac:dyDescent="0.2">
      <c r="B14" s="63" t="s">
        <v>59</v>
      </c>
      <c r="C14" s="141">
        <v>1</v>
      </c>
      <c r="D14" s="141">
        <v>1</v>
      </c>
      <c r="E14" s="141">
        <v>1</v>
      </c>
      <c r="F14" s="141">
        <v>1</v>
      </c>
      <c r="G14" s="141">
        <v>1</v>
      </c>
      <c r="H14" s="141">
        <v>1</v>
      </c>
      <c r="I14" s="141">
        <v>1</v>
      </c>
      <c r="J14" s="141">
        <v>1</v>
      </c>
      <c r="K14" s="141">
        <v>1</v>
      </c>
      <c r="L14" s="141">
        <v>0.33</v>
      </c>
      <c r="M14" s="141">
        <v>0.33</v>
      </c>
      <c r="N14" s="141">
        <v>0.33</v>
      </c>
      <c r="O14" s="141">
        <v>0.33</v>
      </c>
    </row>
    <row r="16" spans="1:15" x14ac:dyDescent="0.2">
      <c r="A16" s="40" t="s">
        <v>263</v>
      </c>
      <c r="B16" s="63"/>
    </row>
    <row r="17" spans="2:15" x14ac:dyDescent="0.2">
      <c r="B17" s="95" t="s">
        <v>63</v>
      </c>
      <c r="C17" s="141">
        <v>1</v>
      </c>
      <c r="D17" s="141">
        <v>1</v>
      </c>
      <c r="E17" s="141">
        <v>0.97599999999999998</v>
      </c>
      <c r="F17" s="141">
        <v>0.97599999999999998</v>
      </c>
      <c r="G17" s="141">
        <v>0.97599999999999998</v>
      </c>
      <c r="H17" s="141">
        <v>0.97599999999999998</v>
      </c>
      <c r="I17" s="141">
        <v>0.97599999999999998</v>
      </c>
      <c r="J17" s="141">
        <v>0.97599999999999998</v>
      </c>
      <c r="K17" s="141">
        <v>0.97599999999999998</v>
      </c>
      <c r="L17" s="141">
        <v>0.97599999999999998</v>
      </c>
      <c r="M17" s="141">
        <v>0.97599999999999998</v>
      </c>
      <c r="N17" s="141">
        <v>0.97599999999999998</v>
      </c>
      <c r="O17" s="141">
        <v>0.97599999999999998</v>
      </c>
    </row>
    <row r="18" spans="2:15" x14ac:dyDescent="0.2">
      <c r="B18" s="95" t="s">
        <v>64</v>
      </c>
      <c r="C18" s="141">
        <v>1</v>
      </c>
      <c r="D18" s="141">
        <v>1</v>
      </c>
      <c r="E18" s="141">
        <v>0.97599999999999998</v>
      </c>
      <c r="F18" s="141">
        <v>0.97599999999999998</v>
      </c>
      <c r="G18" s="141">
        <v>0.97599999999999998</v>
      </c>
      <c r="H18" s="141">
        <v>0.97599999999999998</v>
      </c>
      <c r="I18" s="141">
        <v>0.97599999999999998</v>
      </c>
      <c r="J18" s="141">
        <v>0.97599999999999998</v>
      </c>
      <c r="K18" s="141">
        <v>0.97599999999999998</v>
      </c>
      <c r="L18" s="141">
        <v>0.97599999999999998</v>
      </c>
      <c r="M18" s="141">
        <v>0.97599999999999998</v>
      </c>
      <c r="N18" s="141">
        <v>0.97599999999999998</v>
      </c>
      <c r="O18" s="141">
        <v>0.97599999999999998</v>
      </c>
    </row>
    <row r="19" spans="2:15" x14ac:dyDescent="0.2">
      <c r="B19" s="95" t="s">
        <v>62</v>
      </c>
      <c r="C19" s="141">
        <v>1</v>
      </c>
      <c r="D19" s="141">
        <v>1</v>
      </c>
      <c r="E19" s="141">
        <v>0.97599999999999998</v>
      </c>
      <c r="F19" s="141">
        <v>0.97599999999999998</v>
      </c>
      <c r="G19" s="141">
        <v>0.97599999999999998</v>
      </c>
      <c r="H19" s="141">
        <v>0.97599999999999998</v>
      </c>
      <c r="I19" s="141">
        <v>0.97599999999999998</v>
      </c>
      <c r="J19" s="141">
        <v>0.97599999999999998</v>
      </c>
      <c r="K19" s="141">
        <v>0.97599999999999998</v>
      </c>
      <c r="L19" s="141">
        <v>0.97599999999999998</v>
      </c>
      <c r="M19" s="141">
        <v>0.97599999999999998</v>
      </c>
      <c r="N19" s="141">
        <v>0.97599999999999998</v>
      </c>
      <c r="O19" s="141">
        <v>0.97599999999999998</v>
      </c>
    </row>
    <row r="20" spans="2:15" x14ac:dyDescent="0.2">
      <c r="B20" s="95" t="s">
        <v>47</v>
      </c>
      <c r="C20" s="141">
        <v>1</v>
      </c>
      <c r="D20" s="141">
        <v>1</v>
      </c>
      <c r="E20" s="141">
        <v>0.9</v>
      </c>
      <c r="F20" s="141">
        <v>0.9</v>
      </c>
      <c r="G20" s="141">
        <v>0.9</v>
      </c>
      <c r="H20" s="141">
        <v>0.9</v>
      </c>
      <c r="I20" s="141">
        <v>0.9</v>
      </c>
      <c r="J20" s="141">
        <v>0.9</v>
      </c>
      <c r="K20" s="141">
        <v>0.9</v>
      </c>
      <c r="L20" s="141">
        <v>0.9</v>
      </c>
      <c r="M20" s="141">
        <v>0.9</v>
      </c>
      <c r="N20" s="141">
        <v>0.9</v>
      </c>
      <c r="O20" s="141">
        <v>0.9</v>
      </c>
    </row>
    <row r="25" spans="2:15" x14ac:dyDescent="0.2">
      <c r="B25" s="43"/>
    </row>
    <row r="26" spans="2:15" x14ac:dyDescent="0.2">
      <c r="B26" s="43"/>
    </row>
    <row r="27" spans="2:15" x14ac:dyDescent="0.2">
      <c r="B27" s="43"/>
    </row>
    <row r="28" spans="2:15" x14ac:dyDescent="0.2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G5"/>
  <sheetViews>
    <sheetView workbookViewId="0">
      <selection activeCell="F8" sqref="F8"/>
    </sheetView>
  </sheetViews>
  <sheetFormatPr defaultColWidth="12.7109375" defaultRowHeight="12.75" x14ac:dyDescent="0.2"/>
  <cols>
    <col min="1" max="1" width="21.28515625" style="35" customWidth="1"/>
    <col min="2" max="2" width="27.28515625" style="35" customWidth="1"/>
    <col min="3" max="7" width="15.5703125" style="35" customWidth="1"/>
    <col min="8" max="16384" width="12.7109375" style="35"/>
  </cols>
  <sheetData>
    <row r="1" spans="1:7" x14ac:dyDescent="0.2">
      <c r="A1" s="40"/>
      <c r="B1" s="124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">
      <c r="A2" s="40" t="s">
        <v>264</v>
      </c>
    </row>
    <row r="3" spans="1:7" x14ac:dyDescent="0.2">
      <c r="B3" s="63" t="s">
        <v>67</v>
      </c>
      <c r="C3" s="141">
        <v>1</v>
      </c>
      <c r="D3" s="141">
        <v>0.21</v>
      </c>
      <c r="E3" s="141">
        <v>0.21</v>
      </c>
      <c r="F3" s="141">
        <v>0.21</v>
      </c>
      <c r="G3" s="141">
        <v>0.21</v>
      </c>
    </row>
    <row r="4" spans="1:7" x14ac:dyDescent="0.2">
      <c r="A4" s="40" t="s">
        <v>265</v>
      </c>
      <c r="B4" s="63"/>
      <c r="C4" s="132"/>
      <c r="D4" s="132"/>
      <c r="E4" s="132"/>
      <c r="F4" s="132"/>
      <c r="G4" s="132"/>
    </row>
    <row r="5" spans="1:7" x14ac:dyDescent="0.2">
      <c r="B5" s="95" t="s">
        <v>183</v>
      </c>
      <c r="C5" s="141">
        <v>1</v>
      </c>
      <c r="D5" s="141">
        <v>0.14299999999999999</v>
      </c>
      <c r="E5" s="141">
        <v>0.14299999999999999</v>
      </c>
      <c r="F5" s="141">
        <v>0.14299999999999999</v>
      </c>
      <c r="G5" s="141">
        <v>0.14299999999999999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I49"/>
  <sheetViews>
    <sheetView topLeftCell="A28" zoomScale="111" workbookViewId="0">
      <selection activeCell="F8" sqref="F8"/>
    </sheetView>
  </sheetViews>
  <sheetFormatPr defaultColWidth="12.7109375" defaultRowHeight="12.75" x14ac:dyDescent="0.2"/>
  <cols>
    <col min="1" max="1" width="53" style="52" customWidth="1"/>
    <col min="2" max="2" width="30.5703125" style="52" customWidth="1"/>
    <col min="3" max="3" width="24.7109375" style="52" customWidth="1"/>
    <col min="4" max="4" width="15" style="35" customWidth="1"/>
    <col min="5" max="5" width="13.7109375" style="35" customWidth="1"/>
    <col min="6" max="6" width="14.42578125" style="35" customWidth="1"/>
    <col min="7" max="7" width="12.7109375" style="35"/>
    <col min="8" max="8" width="17.5703125" style="35" customWidth="1"/>
    <col min="9" max="16384" width="12.7109375" style="35"/>
  </cols>
  <sheetData>
    <row r="1" spans="1:9" x14ac:dyDescent="0.2">
      <c r="A1" s="40" t="s">
        <v>69</v>
      </c>
      <c r="B1" s="40" t="s">
        <v>266</v>
      </c>
      <c r="C1" s="130" t="s">
        <v>267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">
      <c r="A2" s="52" t="s">
        <v>28</v>
      </c>
      <c r="B2" s="52" t="s">
        <v>71</v>
      </c>
      <c r="C2" s="52" t="s">
        <v>268</v>
      </c>
      <c r="D2" s="141">
        <v>0</v>
      </c>
      <c r="E2" s="141">
        <v>0</v>
      </c>
      <c r="F2" s="141">
        <v>0.33500000000000002</v>
      </c>
      <c r="G2" s="141">
        <v>0.33500000000000002</v>
      </c>
      <c r="H2" s="141">
        <v>0.33500000000000002</v>
      </c>
    </row>
    <row r="3" spans="1:9" x14ac:dyDescent="0.2">
      <c r="C3" s="52" t="s">
        <v>269</v>
      </c>
      <c r="D3" s="141">
        <v>0</v>
      </c>
      <c r="E3" s="141">
        <v>0</v>
      </c>
      <c r="F3" s="141">
        <v>0.53134328358208949</v>
      </c>
      <c r="G3" s="141">
        <v>0.53134328358208949</v>
      </c>
      <c r="H3" s="141">
        <v>0.53134328358208949</v>
      </c>
    </row>
    <row r="4" spans="1:9" x14ac:dyDescent="0.2">
      <c r="C4" s="52" t="s">
        <v>270</v>
      </c>
      <c r="D4" s="141">
        <v>0</v>
      </c>
      <c r="E4" s="141">
        <v>0</v>
      </c>
      <c r="F4" s="141">
        <v>0.38507462686567184</v>
      </c>
      <c r="G4" s="141">
        <v>0.38507462686567184</v>
      </c>
      <c r="H4" s="141">
        <v>0.38507462686567184</v>
      </c>
    </row>
    <row r="5" spans="1:9" x14ac:dyDescent="0.2">
      <c r="A5" s="52" t="s">
        <v>58</v>
      </c>
      <c r="B5" s="52" t="s">
        <v>66</v>
      </c>
      <c r="C5" s="52" t="s">
        <v>268</v>
      </c>
      <c r="D5" s="141">
        <v>0</v>
      </c>
      <c r="E5" s="141">
        <v>0</v>
      </c>
      <c r="F5" s="141">
        <v>0.33500000000000002</v>
      </c>
      <c r="G5" s="141">
        <v>0.33500000000000002</v>
      </c>
      <c r="H5" s="141">
        <v>0.33500000000000002</v>
      </c>
    </row>
    <row r="6" spans="1:9" x14ac:dyDescent="0.2">
      <c r="C6" s="52" t="s">
        <v>270</v>
      </c>
      <c r="D6" s="141">
        <v>0</v>
      </c>
      <c r="E6" s="141">
        <v>0</v>
      </c>
      <c r="F6" s="141">
        <v>0.25970149253731345</v>
      </c>
      <c r="G6" s="141">
        <v>0.25970149253731345</v>
      </c>
      <c r="H6" s="141">
        <v>0</v>
      </c>
    </row>
    <row r="7" spans="1:9" x14ac:dyDescent="0.2">
      <c r="B7" s="52" t="s">
        <v>65</v>
      </c>
      <c r="C7" s="52" t="s">
        <v>268</v>
      </c>
      <c r="D7" s="141">
        <v>0</v>
      </c>
      <c r="E7" s="141">
        <v>0</v>
      </c>
      <c r="F7" s="141">
        <v>0.33500000000000002</v>
      </c>
      <c r="G7" s="141">
        <v>0.33500000000000002</v>
      </c>
      <c r="H7" s="141">
        <v>0.33500000000000002</v>
      </c>
    </row>
    <row r="8" spans="1:9" x14ac:dyDescent="0.2">
      <c r="C8" s="52" t="s">
        <v>270</v>
      </c>
      <c r="D8" s="141">
        <v>0</v>
      </c>
      <c r="E8" s="141">
        <v>0</v>
      </c>
      <c r="F8" s="141">
        <v>0.25970149253731345</v>
      </c>
      <c r="G8" s="141">
        <v>0.25970149253731345</v>
      </c>
      <c r="H8" s="141">
        <v>0</v>
      </c>
    </row>
    <row r="9" spans="1:9" x14ac:dyDescent="0.2">
      <c r="A9" s="52" t="s">
        <v>136</v>
      </c>
      <c r="B9" s="52" t="s">
        <v>66</v>
      </c>
      <c r="C9" s="52" t="s">
        <v>268</v>
      </c>
      <c r="D9" s="141">
        <v>0</v>
      </c>
      <c r="E9" s="141">
        <v>0</v>
      </c>
      <c r="F9" s="141">
        <v>0.33500000000000002</v>
      </c>
      <c r="G9" s="141">
        <v>0.33500000000000002</v>
      </c>
      <c r="H9" s="141">
        <v>0.33500000000000002</v>
      </c>
    </row>
    <row r="10" spans="1:9" x14ac:dyDescent="0.2">
      <c r="C10" s="52" t="s">
        <v>270</v>
      </c>
      <c r="D10" s="141">
        <v>0</v>
      </c>
      <c r="E10" s="141">
        <v>0</v>
      </c>
      <c r="F10" s="141">
        <v>0.25970149253731345</v>
      </c>
      <c r="G10" s="141">
        <v>0.25970149253731345</v>
      </c>
      <c r="H10" s="141">
        <v>0</v>
      </c>
    </row>
    <row r="11" spans="1:9" x14ac:dyDescent="0.2">
      <c r="B11" s="52" t="s">
        <v>65</v>
      </c>
      <c r="C11" s="52" t="s">
        <v>268</v>
      </c>
      <c r="D11" s="141">
        <v>0</v>
      </c>
      <c r="E11" s="141">
        <v>0</v>
      </c>
      <c r="F11" s="141">
        <v>0.33500000000000002</v>
      </c>
      <c r="G11" s="141">
        <v>0.33500000000000002</v>
      </c>
      <c r="H11" s="141">
        <v>0.33500000000000002</v>
      </c>
    </row>
    <row r="12" spans="1:9" x14ac:dyDescent="0.2">
      <c r="C12" s="52" t="s">
        <v>270</v>
      </c>
      <c r="D12" s="141">
        <v>0</v>
      </c>
      <c r="E12" s="141">
        <v>0</v>
      </c>
      <c r="F12" s="141">
        <v>0.25970149253731345</v>
      </c>
      <c r="G12" s="141">
        <v>0.25970149253731345</v>
      </c>
      <c r="H12" s="141">
        <v>0</v>
      </c>
    </row>
    <row r="13" spans="1:9" x14ac:dyDescent="0.2">
      <c r="A13" s="52" t="s">
        <v>61</v>
      </c>
      <c r="B13" s="52" t="s">
        <v>66</v>
      </c>
      <c r="C13" s="52" t="s">
        <v>268</v>
      </c>
      <c r="D13" s="141">
        <v>0</v>
      </c>
      <c r="E13" s="141">
        <v>0</v>
      </c>
      <c r="F13" s="141">
        <v>0.33500000000000002</v>
      </c>
      <c r="G13" s="141">
        <v>0.33500000000000002</v>
      </c>
      <c r="H13" s="141">
        <v>0.33500000000000002</v>
      </c>
    </row>
    <row r="14" spans="1:9" x14ac:dyDescent="0.2">
      <c r="C14" s="52" t="s">
        <v>270</v>
      </c>
      <c r="D14" s="141">
        <v>0</v>
      </c>
      <c r="E14" s="141">
        <v>0</v>
      </c>
      <c r="F14" s="141">
        <v>0.7</v>
      </c>
      <c r="G14" s="141">
        <v>0.62</v>
      </c>
      <c r="H14" s="141">
        <v>0.62</v>
      </c>
      <c r="I14" s="36"/>
    </row>
    <row r="15" spans="1:9" x14ac:dyDescent="0.2">
      <c r="B15" s="52" t="s">
        <v>65</v>
      </c>
      <c r="C15" s="52" t="s">
        <v>268</v>
      </c>
      <c r="D15" s="141">
        <v>0</v>
      </c>
      <c r="E15" s="141">
        <v>0</v>
      </c>
      <c r="F15" s="141">
        <v>0.33500000000000002</v>
      </c>
      <c r="G15" s="141">
        <v>0.33500000000000002</v>
      </c>
      <c r="H15" s="141">
        <v>0.33500000000000002</v>
      </c>
      <c r="I15" s="36"/>
    </row>
    <row r="16" spans="1:9" x14ac:dyDescent="0.2">
      <c r="C16" s="52" t="s">
        <v>270</v>
      </c>
      <c r="D16" s="141">
        <v>0</v>
      </c>
      <c r="E16" s="141">
        <v>0</v>
      </c>
      <c r="F16" s="141">
        <v>0.84</v>
      </c>
      <c r="G16" s="141">
        <v>0.62</v>
      </c>
      <c r="H16" s="141">
        <v>0.62</v>
      </c>
      <c r="I16" s="36"/>
    </row>
    <row r="17" spans="1:9" x14ac:dyDescent="0.2">
      <c r="A17" s="52" t="s">
        <v>62</v>
      </c>
      <c r="B17" s="52" t="s">
        <v>27</v>
      </c>
      <c r="C17" s="52" t="s">
        <v>268</v>
      </c>
      <c r="D17" s="141">
        <v>0.7</v>
      </c>
      <c r="E17" s="141">
        <v>0</v>
      </c>
      <c r="F17" s="141">
        <v>0</v>
      </c>
      <c r="G17" s="141">
        <v>0</v>
      </c>
      <c r="H17" s="141">
        <v>0</v>
      </c>
      <c r="I17" s="36"/>
    </row>
    <row r="18" spans="1:9" x14ac:dyDescent="0.2">
      <c r="C18" s="52" t="s">
        <v>269</v>
      </c>
      <c r="D18" s="141">
        <v>0.46</v>
      </c>
      <c r="E18" s="141">
        <v>0</v>
      </c>
      <c r="F18" s="141">
        <v>0</v>
      </c>
      <c r="G18" s="141">
        <v>0</v>
      </c>
      <c r="H18" s="141">
        <v>0</v>
      </c>
      <c r="I18" s="36"/>
    </row>
    <row r="19" spans="1:9" x14ac:dyDescent="0.2">
      <c r="A19" s="52" t="s">
        <v>63</v>
      </c>
      <c r="B19" s="52" t="s">
        <v>27</v>
      </c>
      <c r="C19" s="52" t="s">
        <v>268</v>
      </c>
      <c r="D19" s="141">
        <v>0.7</v>
      </c>
      <c r="E19" s="141">
        <v>0</v>
      </c>
      <c r="F19" s="141">
        <v>0</v>
      </c>
      <c r="G19" s="141">
        <v>0</v>
      </c>
      <c r="H19" s="141">
        <v>0</v>
      </c>
    </row>
    <row r="20" spans="1:9" x14ac:dyDescent="0.2">
      <c r="C20" s="52" t="s">
        <v>269</v>
      </c>
      <c r="D20" s="141">
        <v>0.46</v>
      </c>
      <c r="E20" s="141">
        <v>0</v>
      </c>
      <c r="F20" s="141">
        <v>0</v>
      </c>
      <c r="G20" s="141">
        <v>0</v>
      </c>
      <c r="H20" s="141">
        <v>0</v>
      </c>
    </row>
    <row r="21" spans="1:9" x14ac:dyDescent="0.2">
      <c r="A21" s="52" t="s">
        <v>64</v>
      </c>
      <c r="B21" s="52" t="s">
        <v>27</v>
      </c>
      <c r="C21" s="52" t="s">
        <v>268</v>
      </c>
      <c r="D21" s="141">
        <v>0.7</v>
      </c>
      <c r="E21" s="141">
        <v>0</v>
      </c>
      <c r="F21" s="141">
        <v>0</v>
      </c>
      <c r="G21" s="141">
        <v>0</v>
      </c>
      <c r="H21" s="141">
        <v>0</v>
      </c>
    </row>
    <row r="22" spans="1:9" x14ac:dyDescent="0.2">
      <c r="C22" s="52" t="s">
        <v>269</v>
      </c>
      <c r="D22" s="141">
        <v>0.46</v>
      </c>
      <c r="E22" s="141">
        <v>0</v>
      </c>
      <c r="F22" s="141">
        <v>0</v>
      </c>
      <c r="G22" s="141">
        <v>0</v>
      </c>
      <c r="H22" s="141">
        <v>0</v>
      </c>
    </row>
    <row r="23" spans="1:9" x14ac:dyDescent="0.2">
      <c r="A23" s="52" t="s">
        <v>79</v>
      </c>
      <c r="B23" s="52" t="s">
        <v>71</v>
      </c>
      <c r="C23" s="52" t="s">
        <v>268</v>
      </c>
      <c r="D23" s="141">
        <v>1</v>
      </c>
      <c r="E23" s="141">
        <v>1</v>
      </c>
      <c r="F23" s="141">
        <v>1</v>
      </c>
      <c r="G23" s="141">
        <v>1</v>
      </c>
      <c r="H23" s="141">
        <v>1</v>
      </c>
    </row>
    <row r="24" spans="1:9" x14ac:dyDescent="0.2">
      <c r="C24" s="52" t="s">
        <v>269</v>
      </c>
      <c r="D24" s="141">
        <v>0</v>
      </c>
      <c r="E24" s="141">
        <v>0</v>
      </c>
      <c r="F24" s="141">
        <v>0</v>
      </c>
      <c r="G24" s="141">
        <v>0</v>
      </c>
      <c r="H24" s="141">
        <v>0</v>
      </c>
    </row>
    <row r="25" spans="1:9" x14ac:dyDescent="0.2">
      <c r="C25" s="52" t="s">
        <v>270</v>
      </c>
      <c r="D25" s="141">
        <v>0</v>
      </c>
      <c r="E25" s="141">
        <v>0</v>
      </c>
      <c r="F25" s="141">
        <v>0</v>
      </c>
      <c r="G25" s="141">
        <v>0</v>
      </c>
      <c r="H25" s="141">
        <v>0</v>
      </c>
    </row>
    <row r="26" spans="1:9" x14ac:dyDescent="0.2">
      <c r="A26" s="52" t="s">
        <v>80</v>
      </c>
      <c r="B26" s="52" t="s">
        <v>71</v>
      </c>
      <c r="C26" s="52" t="s">
        <v>268</v>
      </c>
      <c r="D26" s="141">
        <v>1</v>
      </c>
      <c r="E26" s="141">
        <v>1</v>
      </c>
      <c r="F26" s="141">
        <v>1</v>
      </c>
      <c r="G26" s="141">
        <v>1</v>
      </c>
      <c r="H26" s="141">
        <v>1</v>
      </c>
    </row>
    <row r="27" spans="1:9" x14ac:dyDescent="0.2">
      <c r="C27" s="52" t="s">
        <v>269</v>
      </c>
      <c r="D27" s="141">
        <v>0</v>
      </c>
      <c r="E27" s="141">
        <v>0</v>
      </c>
      <c r="F27" s="141">
        <v>0</v>
      </c>
      <c r="G27" s="141">
        <v>0</v>
      </c>
      <c r="H27" s="141">
        <v>0</v>
      </c>
    </row>
    <row r="28" spans="1:9" x14ac:dyDescent="0.2">
      <c r="C28" s="52" t="s">
        <v>270</v>
      </c>
      <c r="D28" s="141">
        <v>0</v>
      </c>
      <c r="E28" s="141">
        <v>0</v>
      </c>
      <c r="F28" s="141">
        <v>0</v>
      </c>
      <c r="G28" s="141">
        <v>0</v>
      </c>
      <c r="H28" s="141">
        <v>0</v>
      </c>
    </row>
    <row r="29" spans="1:9" x14ac:dyDescent="0.2">
      <c r="A29" s="52" t="s">
        <v>81</v>
      </c>
      <c r="B29" s="52" t="s">
        <v>71</v>
      </c>
      <c r="C29" s="52" t="s">
        <v>268</v>
      </c>
      <c r="D29" s="141">
        <v>1</v>
      </c>
      <c r="E29" s="141">
        <v>1</v>
      </c>
      <c r="F29" s="141">
        <v>1</v>
      </c>
      <c r="G29" s="141">
        <v>1</v>
      </c>
      <c r="H29" s="141">
        <v>1</v>
      </c>
    </row>
    <row r="30" spans="1:9" x14ac:dyDescent="0.2">
      <c r="C30" s="52" t="s">
        <v>269</v>
      </c>
      <c r="D30" s="141">
        <v>0</v>
      </c>
      <c r="E30" s="141">
        <v>0</v>
      </c>
      <c r="F30" s="141">
        <v>0</v>
      </c>
      <c r="G30" s="141">
        <v>0</v>
      </c>
      <c r="H30" s="141">
        <v>0</v>
      </c>
    </row>
    <row r="31" spans="1:9" x14ac:dyDescent="0.2">
      <c r="C31" s="52" t="s">
        <v>270</v>
      </c>
      <c r="D31" s="141">
        <v>0</v>
      </c>
      <c r="E31" s="141">
        <v>0</v>
      </c>
      <c r="F31" s="141">
        <v>0</v>
      </c>
      <c r="G31" s="141">
        <v>0</v>
      </c>
      <c r="H31" s="141">
        <v>0</v>
      </c>
    </row>
    <row r="32" spans="1:9" x14ac:dyDescent="0.2">
      <c r="A32" s="52" t="s">
        <v>82</v>
      </c>
      <c r="B32" s="52" t="s">
        <v>71</v>
      </c>
      <c r="C32" s="52" t="s">
        <v>268</v>
      </c>
      <c r="D32" s="141">
        <v>1</v>
      </c>
      <c r="E32" s="141">
        <v>1</v>
      </c>
      <c r="F32" s="141">
        <v>1</v>
      </c>
      <c r="G32" s="141">
        <v>1</v>
      </c>
      <c r="H32" s="141">
        <v>1</v>
      </c>
    </row>
    <row r="33" spans="1:8" x14ac:dyDescent="0.2">
      <c r="C33" s="52" t="s">
        <v>269</v>
      </c>
      <c r="D33" s="141">
        <v>0</v>
      </c>
      <c r="E33" s="141">
        <v>0</v>
      </c>
      <c r="F33" s="141">
        <v>0</v>
      </c>
      <c r="G33" s="141">
        <v>0</v>
      </c>
      <c r="H33" s="141">
        <v>0</v>
      </c>
    </row>
    <row r="34" spans="1:8" x14ac:dyDescent="0.2">
      <c r="C34" s="52" t="s">
        <v>270</v>
      </c>
      <c r="D34" s="141">
        <v>0</v>
      </c>
      <c r="E34" s="141">
        <v>0</v>
      </c>
      <c r="F34" s="141">
        <v>0</v>
      </c>
      <c r="G34" s="141">
        <v>0</v>
      </c>
      <c r="H34" s="141">
        <v>0</v>
      </c>
    </row>
    <row r="35" spans="1:8" x14ac:dyDescent="0.2">
      <c r="A35" s="52" t="s">
        <v>83</v>
      </c>
      <c r="B35" s="52" t="s">
        <v>71</v>
      </c>
      <c r="C35" s="52" t="s">
        <v>268</v>
      </c>
      <c r="D35" s="141">
        <v>1</v>
      </c>
      <c r="E35" s="141">
        <v>1</v>
      </c>
      <c r="F35" s="141">
        <v>1</v>
      </c>
      <c r="G35" s="141">
        <v>1</v>
      </c>
      <c r="H35" s="141">
        <v>1</v>
      </c>
    </row>
    <row r="36" spans="1:8" x14ac:dyDescent="0.2">
      <c r="C36" s="52" t="s">
        <v>269</v>
      </c>
      <c r="D36" s="141">
        <v>0</v>
      </c>
      <c r="E36" s="141">
        <v>0</v>
      </c>
      <c r="F36" s="141">
        <v>0</v>
      </c>
      <c r="G36" s="141">
        <v>0</v>
      </c>
      <c r="H36" s="141">
        <v>0</v>
      </c>
    </row>
    <row r="37" spans="1:8" x14ac:dyDescent="0.2">
      <c r="C37" s="52" t="s">
        <v>270</v>
      </c>
      <c r="D37" s="141">
        <v>0</v>
      </c>
      <c r="E37" s="141">
        <v>0</v>
      </c>
      <c r="F37" s="141">
        <v>0</v>
      </c>
      <c r="G37" s="141">
        <v>0</v>
      </c>
      <c r="H37" s="141">
        <v>0</v>
      </c>
    </row>
    <row r="38" spans="1:8" x14ac:dyDescent="0.2">
      <c r="A38" s="52" t="s">
        <v>60</v>
      </c>
      <c r="B38" s="52" t="s">
        <v>71</v>
      </c>
      <c r="C38" s="52" t="s">
        <v>268</v>
      </c>
      <c r="D38" s="141">
        <v>0.3</v>
      </c>
      <c r="E38" s="141">
        <v>0.3</v>
      </c>
      <c r="F38" s="141">
        <v>0.3</v>
      </c>
      <c r="G38" s="141">
        <v>0.3</v>
      </c>
      <c r="H38" s="141">
        <v>0.3</v>
      </c>
    </row>
    <row r="39" spans="1:8" x14ac:dyDescent="0.2">
      <c r="C39" s="52" t="s">
        <v>269</v>
      </c>
      <c r="D39" s="141">
        <v>0.5</v>
      </c>
      <c r="E39" s="141">
        <v>0.5</v>
      </c>
      <c r="F39" s="141">
        <v>0.5</v>
      </c>
      <c r="G39" s="141">
        <v>0.5</v>
      </c>
      <c r="H39" s="141">
        <v>0.5</v>
      </c>
    </row>
    <row r="40" spans="1:8" x14ac:dyDescent="0.2">
      <c r="C40" s="52" t="s">
        <v>270</v>
      </c>
      <c r="D40" s="141">
        <v>0.65</v>
      </c>
      <c r="E40" s="141">
        <v>0.65</v>
      </c>
      <c r="F40" s="141">
        <v>0.65</v>
      </c>
      <c r="G40" s="141">
        <v>0.65</v>
      </c>
      <c r="H40" s="141">
        <v>0.65</v>
      </c>
    </row>
    <row r="41" spans="1:8" x14ac:dyDescent="0.2">
      <c r="B41" s="52" t="s">
        <v>16</v>
      </c>
      <c r="C41" s="52" t="s">
        <v>268</v>
      </c>
      <c r="D41" s="141">
        <v>0.3</v>
      </c>
      <c r="E41" s="141">
        <v>0.3</v>
      </c>
      <c r="F41" s="141">
        <v>0.3</v>
      </c>
      <c r="G41" s="141">
        <v>0.3</v>
      </c>
      <c r="H41" s="141">
        <v>0.3</v>
      </c>
    </row>
    <row r="42" spans="1:8" x14ac:dyDescent="0.2">
      <c r="C42" s="52" t="s">
        <v>269</v>
      </c>
      <c r="D42" s="141">
        <v>0.49</v>
      </c>
      <c r="E42" s="141">
        <v>0.49</v>
      </c>
      <c r="F42" s="141">
        <v>0.49</v>
      </c>
      <c r="G42" s="141">
        <v>0.49</v>
      </c>
      <c r="H42" s="141">
        <v>0.49</v>
      </c>
    </row>
    <row r="43" spans="1:8" x14ac:dyDescent="0.2">
      <c r="C43" s="52" t="s">
        <v>270</v>
      </c>
      <c r="D43" s="141">
        <v>0.52</v>
      </c>
      <c r="E43" s="141">
        <v>0.52</v>
      </c>
      <c r="F43" s="141">
        <v>0.52</v>
      </c>
      <c r="G43" s="141">
        <v>0.52</v>
      </c>
      <c r="H43" s="141">
        <v>0.52</v>
      </c>
    </row>
    <row r="44" spans="1:8" x14ac:dyDescent="0.2">
      <c r="A44" s="52" t="s">
        <v>84</v>
      </c>
      <c r="B44" s="52" t="s">
        <v>71</v>
      </c>
      <c r="C44" s="52" t="s">
        <v>268</v>
      </c>
      <c r="D44" s="141">
        <v>0.88</v>
      </c>
      <c r="E44" s="141">
        <v>0.88</v>
      </c>
      <c r="F44" s="141">
        <v>0.88</v>
      </c>
      <c r="G44" s="141">
        <v>0.88</v>
      </c>
      <c r="H44" s="141">
        <v>0.88</v>
      </c>
    </row>
    <row r="45" spans="1:8" x14ac:dyDescent="0.2">
      <c r="C45" s="52" t="s">
        <v>269</v>
      </c>
      <c r="D45" s="141">
        <v>0.93</v>
      </c>
      <c r="E45" s="141">
        <v>0.93</v>
      </c>
      <c r="F45" s="141">
        <v>0.93</v>
      </c>
      <c r="G45" s="141">
        <v>0.93</v>
      </c>
      <c r="H45" s="141">
        <v>0.93</v>
      </c>
    </row>
    <row r="46" spans="1:8" x14ac:dyDescent="0.2">
      <c r="A46" s="52" t="s">
        <v>85</v>
      </c>
      <c r="B46" s="52" t="s">
        <v>71</v>
      </c>
      <c r="C46" s="52" t="s">
        <v>268</v>
      </c>
      <c r="D46" s="141">
        <v>1</v>
      </c>
      <c r="E46" s="141">
        <v>1</v>
      </c>
      <c r="F46" s="141">
        <v>1</v>
      </c>
      <c r="G46" s="141">
        <v>1</v>
      </c>
      <c r="H46" s="141">
        <v>1</v>
      </c>
    </row>
    <row r="47" spans="1:8" x14ac:dyDescent="0.2">
      <c r="C47" s="52" t="s">
        <v>269</v>
      </c>
      <c r="D47" s="141">
        <v>0.86</v>
      </c>
      <c r="E47" s="141">
        <v>0.86</v>
      </c>
      <c r="F47" s="141">
        <v>0.86</v>
      </c>
      <c r="G47" s="141">
        <v>0.86</v>
      </c>
      <c r="H47" s="141">
        <v>0.86</v>
      </c>
    </row>
    <row r="48" spans="1:8" x14ac:dyDescent="0.2">
      <c r="A48" s="52" t="s">
        <v>196</v>
      </c>
      <c r="B48" s="52" t="s">
        <v>13</v>
      </c>
      <c r="C48" s="52" t="s">
        <v>268</v>
      </c>
      <c r="D48" s="141">
        <v>0.57999999999999996</v>
      </c>
      <c r="E48" s="141">
        <v>0.57999999999999996</v>
      </c>
      <c r="F48" s="141">
        <v>0</v>
      </c>
      <c r="G48" s="141">
        <v>0</v>
      </c>
      <c r="H48" s="141">
        <v>0</v>
      </c>
    </row>
    <row r="49" spans="3:8" x14ac:dyDescent="0.2">
      <c r="C49" s="52" t="s">
        <v>269</v>
      </c>
      <c r="D49" s="141">
        <v>0.51</v>
      </c>
      <c r="E49" s="141">
        <v>0.51</v>
      </c>
      <c r="F49" s="141">
        <v>0</v>
      </c>
      <c r="G49" s="141">
        <v>0</v>
      </c>
      <c r="H49" s="141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H7"/>
  <sheetViews>
    <sheetView workbookViewId="0">
      <selection activeCell="F8" sqref="F8"/>
    </sheetView>
  </sheetViews>
  <sheetFormatPr defaultColWidth="12.7109375" defaultRowHeight="12.75" x14ac:dyDescent="0.2"/>
  <cols>
    <col min="1" max="1" width="28" style="35" customWidth="1"/>
    <col min="2" max="2" width="27.42578125" style="35" customWidth="1"/>
    <col min="3" max="3" width="23.7109375" style="35" customWidth="1"/>
    <col min="4" max="7" width="17.28515625" style="35" customWidth="1"/>
    <col min="8" max="16384" width="12.7109375" style="35"/>
  </cols>
  <sheetData>
    <row r="1" spans="1:8" x14ac:dyDescent="0.2">
      <c r="A1" s="124" t="s">
        <v>69</v>
      </c>
      <c r="B1" s="124" t="s">
        <v>266</v>
      </c>
      <c r="C1" s="124"/>
      <c r="D1" s="40" t="s">
        <v>53</v>
      </c>
      <c r="E1" s="40" t="s">
        <v>54</v>
      </c>
      <c r="F1" s="40" t="s">
        <v>55</v>
      </c>
      <c r="G1" s="40" t="s">
        <v>56</v>
      </c>
      <c r="H1" s="99"/>
    </row>
    <row r="2" spans="1:8" x14ac:dyDescent="0.2">
      <c r="A2" s="43" t="s">
        <v>86</v>
      </c>
      <c r="B2" s="35" t="s">
        <v>41</v>
      </c>
      <c r="C2" s="43" t="s">
        <v>268</v>
      </c>
      <c r="D2" s="141">
        <v>1</v>
      </c>
      <c r="E2" s="141">
        <v>1</v>
      </c>
      <c r="F2" s="141">
        <v>1</v>
      </c>
      <c r="G2" s="141">
        <v>1</v>
      </c>
      <c r="H2" s="95"/>
    </row>
    <row r="3" spans="1:8" x14ac:dyDescent="0.2">
      <c r="C3" s="35" t="s">
        <v>269</v>
      </c>
      <c r="D3" s="141">
        <v>0.2</v>
      </c>
      <c r="E3" s="141">
        <v>0.2</v>
      </c>
      <c r="F3" s="141">
        <v>0.2</v>
      </c>
      <c r="G3" s="141">
        <v>0.2</v>
      </c>
      <c r="H3" s="133"/>
    </row>
    <row r="4" spans="1:8" x14ac:dyDescent="0.2">
      <c r="A4" s="43" t="s">
        <v>87</v>
      </c>
      <c r="B4" s="35" t="s">
        <v>41</v>
      </c>
      <c r="C4" s="43" t="s">
        <v>268</v>
      </c>
      <c r="D4" s="141">
        <v>1</v>
      </c>
      <c r="E4" s="141">
        <v>1</v>
      </c>
      <c r="F4" s="141">
        <v>1</v>
      </c>
      <c r="G4" s="141">
        <v>1</v>
      </c>
      <c r="H4" s="133"/>
    </row>
    <row r="5" spans="1:8" x14ac:dyDescent="0.2">
      <c r="A5" s="36"/>
      <c r="C5" s="35" t="s">
        <v>269</v>
      </c>
      <c r="D5" s="141">
        <v>0.59</v>
      </c>
      <c r="E5" s="141">
        <v>0.59</v>
      </c>
      <c r="F5" s="141">
        <v>0.59</v>
      </c>
      <c r="G5" s="141">
        <v>0.59</v>
      </c>
      <c r="H5" s="95"/>
    </row>
    <row r="6" spans="1:8" x14ac:dyDescent="0.2">
      <c r="A6" s="43" t="s">
        <v>88</v>
      </c>
      <c r="B6" s="35" t="s">
        <v>41</v>
      </c>
      <c r="C6" s="43" t="s">
        <v>268</v>
      </c>
      <c r="D6" s="141">
        <v>1</v>
      </c>
      <c r="E6" s="141">
        <v>1</v>
      </c>
      <c r="F6" s="141">
        <v>1</v>
      </c>
      <c r="G6" s="141">
        <v>1</v>
      </c>
      <c r="H6" s="95"/>
    </row>
    <row r="7" spans="1:8" x14ac:dyDescent="0.2">
      <c r="A7" s="36"/>
      <c r="C7" s="35" t="s">
        <v>269</v>
      </c>
      <c r="D7" s="141">
        <v>0.6</v>
      </c>
      <c r="E7" s="141">
        <v>0.6</v>
      </c>
      <c r="F7" s="141">
        <v>0.6</v>
      </c>
      <c r="G7" s="141">
        <v>0.6</v>
      </c>
      <c r="H7" s="133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7600"/>
  </sheetPr>
  <dimension ref="A1:H35"/>
  <sheetViews>
    <sheetView zoomScale="115" zoomScaleNormal="115" workbookViewId="0">
      <selection activeCell="C3" sqref="C3:C10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"Percentage of deaths in baseline year ("&amp;start_year&amp;") attributable to cause"</f>
        <v>Percentage of deaths in baseline year (2017) attributable to cause</v>
      </c>
      <c r="B1" s="41"/>
      <c r="C1" s="41"/>
      <c r="D1" s="41"/>
      <c r="E1" s="41"/>
      <c r="F1" s="41"/>
    </row>
    <row r="2" spans="1:8" ht="27.75" customHeight="1" x14ac:dyDescent="0.2">
      <c r="A2" t="s">
        <v>211</v>
      </c>
      <c r="B2" s="41" t="s">
        <v>212</v>
      </c>
      <c r="C2" s="41" t="s">
        <v>1</v>
      </c>
      <c r="D2" s="41"/>
      <c r="E2" s="41"/>
      <c r="F2" s="41"/>
      <c r="G2" s="41"/>
    </row>
    <row r="3" spans="1:8" ht="15.75" customHeight="1" x14ac:dyDescent="0.2">
      <c r="B3" s="24" t="s">
        <v>73</v>
      </c>
      <c r="C3" s="79">
        <v>0.02</v>
      </c>
    </row>
    <row r="4" spans="1:8" ht="15.75" customHeight="1" x14ac:dyDescent="0.2">
      <c r="B4" s="24" t="s">
        <v>7</v>
      </c>
      <c r="C4" s="79">
        <v>0.49580000000000002</v>
      </c>
    </row>
    <row r="5" spans="1:8" ht="15.75" customHeight="1" x14ac:dyDescent="0.2">
      <c r="B5" s="24" t="s">
        <v>8</v>
      </c>
      <c r="C5" s="79">
        <v>6.1100000000000002E-2</v>
      </c>
    </row>
    <row r="6" spans="1:8" ht="15.75" customHeight="1" x14ac:dyDescent="0.2">
      <c r="B6" s="24" t="s">
        <v>10</v>
      </c>
      <c r="C6" s="79">
        <v>0.39700000000000002</v>
      </c>
    </row>
    <row r="7" spans="1:8" ht="15.75" customHeight="1" x14ac:dyDescent="0.2">
      <c r="B7" s="24" t="s">
        <v>13</v>
      </c>
      <c r="C7" s="79">
        <v>0.02</v>
      </c>
    </row>
    <row r="8" spans="1:8" ht="15.75" customHeight="1" x14ac:dyDescent="0.2">
      <c r="B8" s="24" t="s">
        <v>14</v>
      </c>
      <c r="C8" s="79">
        <v>0</v>
      </c>
    </row>
    <row r="9" spans="1:8" ht="15.75" customHeight="1" x14ac:dyDescent="0.2">
      <c r="B9" s="24" t="s">
        <v>27</v>
      </c>
      <c r="C9" s="79">
        <v>0</v>
      </c>
    </row>
    <row r="10" spans="1:8" ht="15.75" customHeight="1" x14ac:dyDescent="0.2">
      <c r="B10" s="24" t="s">
        <v>15</v>
      </c>
      <c r="C10" s="79">
        <v>6.1000000000000004E-3</v>
      </c>
    </row>
    <row r="11" spans="1:8" ht="15.75" customHeight="1" x14ac:dyDescent="0.2">
      <c r="B11" s="32" t="s">
        <v>129</v>
      </c>
      <c r="C11" s="74">
        <f>SUM(C3:C10)</f>
        <v>1.0000000000000002</v>
      </c>
      <c r="G11" s="24"/>
      <c r="H11" s="24"/>
    </row>
    <row r="12" spans="1:8" ht="15.75" customHeight="1" x14ac:dyDescent="0.2">
      <c r="B12" s="32"/>
      <c r="C12" s="24"/>
      <c r="D12" s="24"/>
      <c r="E12" s="24"/>
      <c r="F12" s="24"/>
      <c r="G12" s="24"/>
      <c r="H12" s="24"/>
    </row>
    <row r="13" spans="1:8" ht="15.75" customHeight="1" x14ac:dyDescent="0.2">
      <c r="A13" s="12" t="s">
        <v>31</v>
      </c>
      <c r="B13" s="41" t="s">
        <v>212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">
      <c r="B14" s="24" t="s">
        <v>71</v>
      </c>
      <c r="C14" s="79">
        <v>6.7466266866566718E-2</v>
      </c>
      <c r="D14" s="79">
        <v>6.7466266866566718E-2</v>
      </c>
      <c r="E14" s="79">
        <v>6.7466266866566718E-2</v>
      </c>
      <c r="F14" s="79">
        <v>6.7466266866566718E-2</v>
      </c>
    </row>
    <row r="15" spans="1:8" ht="15.75" customHeight="1" x14ac:dyDescent="0.2">
      <c r="B15" s="24" t="s">
        <v>16</v>
      </c>
      <c r="C15" s="79">
        <v>0.24187906046976512</v>
      </c>
      <c r="D15" s="79">
        <v>0.24187906046976512</v>
      </c>
      <c r="E15" s="79">
        <v>0.24187906046976512</v>
      </c>
      <c r="F15" s="79">
        <v>0.24187906046976512</v>
      </c>
    </row>
    <row r="16" spans="1:8" ht="15.75" customHeight="1" x14ac:dyDescent="0.2">
      <c r="B16" s="24" t="s">
        <v>17</v>
      </c>
      <c r="C16" s="79">
        <v>6.7966016991504244E-2</v>
      </c>
      <c r="D16" s="79">
        <v>6.7966016991504244E-2</v>
      </c>
      <c r="E16" s="79">
        <v>6.7966016991504244E-2</v>
      </c>
      <c r="F16" s="79">
        <v>6.7966016991504244E-2</v>
      </c>
    </row>
    <row r="17" spans="1:8" ht="15.75" customHeight="1" x14ac:dyDescent="0.2">
      <c r="B17" s="24" t="s">
        <v>18</v>
      </c>
      <c r="C17" s="79">
        <v>0</v>
      </c>
      <c r="D17" s="79">
        <v>0</v>
      </c>
      <c r="E17" s="79">
        <v>0</v>
      </c>
      <c r="F17" s="79">
        <v>0</v>
      </c>
    </row>
    <row r="18" spans="1:8" ht="15.75" customHeight="1" x14ac:dyDescent="0.2">
      <c r="B18" s="24" t="s">
        <v>19</v>
      </c>
      <c r="C18" s="79">
        <v>2.2488755622188907E-2</v>
      </c>
      <c r="D18" s="79">
        <v>2.2488755622188907E-2</v>
      </c>
      <c r="E18" s="79">
        <v>2.2488755622188907E-2</v>
      </c>
      <c r="F18" s="79">
        <v>2.2488755622188907E-2</v>
      </c>
    </row>
    <row r="19" spans="1:8" ht="15.75" customHeight="1" x14ac:dyDescent="0.2">
      <c r="B19" s="24" t="s">
        <v>20</v>
      </c>
      <c r="C19" s="79">
        <v>0</v>
      </c>
      <c r="D19" s="79">
        <v>0</v>
      </c>
      <c r="E19" s="79">
        <v>0</v>
      </c>
      <c r="F19" s="79">
        <v>0</v>
      </c>
    </row>
    <row r="20" spans="1:8" ht="15.75" customHeight="1" x14ac:dyDescent="0.2">
      <c r="B20" s="24" t="s">
        <v>21</v>
      </c>
      <c r="C20" s="79">
        <v>4.0479760119940027E-2</v>
      </c>
      <c r="D20" s="79">
        <v>4.0479760119940027E-2</v>
      </c>
      <c r="E20" s="79">
        <v>4.0479760119940027E-2</v>
      </c>
      <c r="F20" s="79">
        <v>4.0479760119940027E-2</v>
      </c>
    </row>
    <row r="21" spans="1:8" ht="15.75" customHeight="1" x14ac:dyDescent="0.2">
      <c r="B21" s="24" t="s">
        <v>22</v>
      </c>
      <c r="C21" s="79">
        <v>8.4957521239380305E-3</v>
      </c>
      <c r="D21" s="79">
        <v>8.4957521239380305E-3</v>
      </c>
      <c r="E21" s="79">
        <v>8.4957521239380305E-3</v>
      </c>
      <c r="F21" s="79">
        <v>8.4957521239380305E-3</v>
      </c>
    </row>
    <row r="22" spans="1:8" ht="15.75" customHeight="1" x14ac:dyDescent="0.2">
      <c r="B22" s="24" t="s">
        <v>23</v>
      </c>
      <c r="C22" s="79">
        <v>0.55122438780609695</v>
      </c>
      <c r="D22" s="79">
        <v>0.55122438780609695</v>
      </c>
      <c r="E22" s="79">
        <v>0.55122438780609695</v>
      </c>
      <c r="F22" s="79">
        <v>0.55122438780609695</v>
      </c>
    </row>
    <row r="23" spans="1:8" ht="15.75" customHeight="1" x14ac:dyDescent="0.2">
      <c r="B23" s="32" t="s">
        <v>129</v>
      </c>
      <c r="C23" s="74">
        <f>SUM(C14:C22)</f>
        <v>1</v>
      </c>
      <c r="D23" s="74">
        <f>SUM(D14:D22)</f>
        <v>1</v>
      </c>
      <c r="E23" s="74">
        <f>SUM(E14:E22)</f>
        <v>1</v>
      </c>
      <c r="F23" s="74">
        <f>SUM(F14:F22)</f>
        <v>1</v>
      </c>
      <c r="G23" s="24"/>
      <c r="H23" s="24"/>
    </row>
    <row r="24" spans="1:8" ht="15.75" customHeight="1" x14ac:dyDescent="0.2">
      <c r="B24" s="32"/>
      <c r="C24" s="24"/>
      <c r="D24" s="24"/>
      <c r="E24" s="24"/>
      <c r="F24" s="24"/>
      <c r="G24" s="24"/>
      <c r="H24" s="24"/>
    </row>
    <row r="25" spans="1:8" ht="15.75" customHeight="1" x14ac:dyDescent="0.2">
      <c r="A25" t="s">
        <v>32</v>
      </c>
      <c r="B25" s="41" t="s">
        <v>212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">
      <c r="B26" s="24" t="s">
        <v>38</v>
      </c>
      <c r="C26" s="79">
        <v>4.7899999999999998E-2</v>
      </c>
    </row>
    <row r="27" spans="1:8" ht="15.75" customHeight="1" x14ac:dyDescent="0.2">
      <c r="B27" s="24" t="s">
        <v>39</v>
      </c>
      <c r="C27" s="79">
        <v>1.89E-2</v>
      </c>
    </row>
    <row r="28" spans="1:8" ht="15.75" customHeight="1" x14ac:dyDescent="0.2">
      <c r="B28" s="24" t="s">
        <v>40</v>
      </c>
      <c r="C28" s="79">
        <v>0.22969999999999999</v>
      </c>
    </row>
    <row r="29" spans="1:8" ht="15.75" customHeight="1" x14ac:dyDescent="0.2">
      <c r="B29" s="24" t="s">
        <v>41</v>
      </c>
      <c r="C29" s="79">
        <v>0.13800000000000001</v>
      </c>
    </row>
    <row r="30" spans="1:8" ht="15.75" customHeight="1" x14ac:dyDescent="0.2">
      <c r="B30" s="24" t="s">
        <v>42</v>
      </c>
      <c r="C30" s="79">
        <v>0.05</v>
      </c>
    </row>
    <row r="31" spans="1:8" ht="15.75" customHeight="1" x14ac:dyDescent="0.2">
      <c r="B31" s="24" t="s">
        <v>43</v>
      </c>
      <c r="C31" s="79">
        <v>7.0400000000000004E-2</v>
      </c>
    </row>
    <row r="32" spans="1:8" ht="15.75" customHeight="1" x14ac:dyDescent="0.2">
      <c r="B32" s="24" t="s">
        <v>44</v>
      </c>
      <c r="C32" s="79">
        <v>0.14729999999999999</v>
      </c>
    </row>
    <row r="33" spans="2:3" ht="15.75" customHeight="1" x14ac:dyDescent="0.2">
      <c r="B33" s="24" t="s">
        <v>45</v>
      </c>
      <c r="C33" s="79">
        <v>0.1241</v>
      </c>
    </row>
    <row r="34" spans="2:3" ht="15.75" customHeight="1" x14ac:dyDescent="0.2">
      <c r="B34" s="24" t="s">
        <v>46</v>
      </c>
      <c r="C34" s="79">
        <v>0.1744</v>
      </c>
    </row>
    <row r="35" spans="2:3" ht="15.75" customHeight="1" x14ac:dyDescent="0.2">
      <c r="B35" s="32" t="s">
        <v>129</v>
      </c>
      <c r="C35" s="74">
        <f>SUM(C26:C34)</f>
        <v>1.0006999999999999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7600"/>
  </sheetPr>
  <dimension ref="A1:O17"/>
  <sheetViews>
    <sheetView zoomScaleNormal="100" workbookViewId="0">
      <selection activeCell="C14" sqref="C14:O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7" t="str">
        <f>"Percentage of population in each category in baseline year ("&amp;start_year&amp;")"</f>
        <v>Percentage of population in each category in baseline year (2017)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">
      <c r="A2" s="6" t="s">
        <v>115</v>
      </c>
      <c r="B2" s="11" t="s">
        <v>117</v>
      </c>
      <c r="C2" s="80">
        <v>0.44850072591739787</v>
      </c>
      <c r="D2" s="80">
        <v>0.44850072591739776</v>
      </c>
      <c r="E2" s="80">
        <v>0.22530139134208138</v>
      </c>
      <c r="F2" s="80">
        <v>0.22530139134208138</v>
      </c>
      <c r="G2" s="80">
        <v>0.18822980000194467</v>
      </c>
    </row>
    <row r="3" spans="1:15" ht="15.75" customHeight="1" x14ac:dyDescent="0.2">
      <c r="A3" s="5"/>
      <c r="B3" s="11" t="s">
        <v>118</v>
      </c>
      <c r="C3" s="80">
        <v>0.35949927408260218</v>
      </c>
      <c r="D3" s="80">
        <v>0.35949927408260224</v>
      </c>
      <c r="E3" s="80">
        <v>0.37169860865791865</v>
      </c>
      <c r="F3" s="80">
        <v>0.37169860865791859</v>
      </c>
      <c r="G3" s="80">
        <v>0.35777019999805537</v>
      </c>
    </row>
    <row r="4" spans="1:15" ht="15.75" customHeight="1" x14ac:dyDescent="0.2">
      <c r="A4" s="5"/>
      <c r="B4" s="11" t="s">
        <v>116</v>
      </c>
      <c r="C4" s="81">
        <v>0.1532185430463576</v>
      </c>
      <c r="D4" s="81">
        <v>0.15271287128712871</v>
      </c>
      <c r="E4" s="81">
        <v>0.32159933774834437</v>
      </c>
      <c r="F4" s="81">
        <v>0.28297067901234568</v>
      </c>
      <c r="G4" s="81">
        <v>0.32325796129818679</v>
      </c>
    </row>
    <row r="5" spans="1:15" ht="15.75" customHeight="1" x14ac:dyDescent="0.2">
      <c r="A5" s="5"/>
      <c r="B5" s="11" t="s">
        <v>119</v>
      </c>
      <c r="C5" s="81">
        <v>3.8781456953642379E-2</v>
      </c>
      <c r="D5" s="81">
        <v>3.9287128712871287E-2</v>
      </c>
      <c r="E5" s="81">
        <v>8.1400662251655612E-2</v>
      </c>
      <c r="F5" s="81">
        <v>0.12002932098765431</v>
      </c>
      <c r="G5" s="81">
        <v>0.1307420387018132</v>
      </c>
    </row>
    <row r="6" spans="1:15" ht="15.75" customHeight="1" x14ac:dyDescent="0.2">
      <c r="B6" s="14"/>
      <c r="C6" s="29"/>
      <c r="D6" s="29"/>
      <c r="E6" s="29"/>
      <c r="F6" s="29"/>
      <c r="G6" s="29"/>
    </row>
    <row r="7" spans="1:15" ht="15.75" customHeight="1" x14ac:dyDescent="0.2">
      <c r="B7" s="14"/>
      <c r="C7" s="29"/>
      <c r="D7" s="29"/>
      <c r="E7" s="29"/>
      <c r="F7" s="29"/>
      <c r="G7" s="29"/>
    </row>
    <row r="8" spans="1:15" ht="15.75" customHeight="1" x14ac:dyDescent="0.2">
      <c r="A8" s="3" t="s">
        <v>114</v>
      </c>
      <c r="B8" s="7" t="s">
        <v>120</v>
      </c>
      <c r="C8" s="80">
        <v>0.25117588013736847</v>
      </c>
      <c r="D8" s="80">
        <v>0.25117588013736847</v>
      </c>
      <c r="E8" s="80">
        <v>0.40210005081282318</v>
      </c>
      <c r="F8" s="80">
        <v>0.40210005081282318</v>
      </c>
      <c r="G8" s="80">
        <v>0.54842239845299201</v>
      </c>
    </row>
    <row r="9" spans="1:15" ht="15.75" customHeight="1" x14ac:dyDescent="0.2">
      <c r="B9" s="7" t="s">
        <v>121</v>
      </c>
      <c r="C9" s="80">
        <v>0.37782411986263154</v>
      </c>
      <c r="D9" s="80">
        <v>0.37782411986263154</v>
      </c>
      <c r="E9" s="80">
        <v>0.37189994918717684</v>
      </c>
      <c r="F9" s="80">
        <v>0.37189994918717678</v>
      </c>
      <c r="G9" s="80">
        <v>0.32057760154700798</v>
      </c>
    </row>
    <row r="10" spans="1:15" ht="15.75" customHeight="1" x14ac:dyDescent="0.2">
      <c r="B10" s="7" t="s">
        <v>122</v>
      </c>
      <c r="C10" s="81">
        <v>0.371</v>
      </c>
      <c r="D10" s="81">
        <v>0.371</v>
      </c>
      <c r="E10" s="81">
        <v>0.22600000000000001</v>
      </c>
      <c r="F10" s="81">
        <v>0.19140816326530616</v>
      </c>
      <c r="G10" s="81">
        <v>0.10040460526315789</v>
      </c>
    </row>
    <row r="11" spans="1:15" ht="15.75" customHeight="1" x14ac:dyDescent="0.2">
      <c r="B11" s="7" t="s">
        <v>123</v>
      </c>
      <c r="C11" s="81">
        <v>0</v>
      </c>
      <c r="D11" s="81">
        <v>0</v>
      </c>
      <c r="E11" s="81">
        <v>0</v>
      </c>
      <c r="F11" s="81">
        <v>3.4591836734693876E-2</v>
      </c>
      <c r="G11" s="81">
        <v>3.0595394736842099E-2</v>
      </c>
    </row>
    <row r="12" spans="1:15" ht="15.75" customHeight="1" x14ac:dyDescent="0.2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">
      <c r="B14" s="16" t="s">
        <v>131</v>
      </c>
      <c r="C14" s="82">
        <v>0.55600000000000005</v>
      </c>
      <c r="D14" s="82">
        <v>0.55600000000000005</v>
      </c>
      <c r="E14" s="82">
        <v>0.55600000000000005</v>
      </c>
      <c r="F14" s="82">
        <v>0.55600000000000005</v>
      </c>
      <c r="G14" s="82">
        <v>0.55600000000000005</v>
      </c>
      <c r="H14" s="83">
        <v>0.44800000000000001</v>
      </c>
      <c r="I14" s="83">
        <v>0.44800000000000001</v>
      </c>
      <c r="J14" s="83">
        <v>0.44800000000000001</v>
      </c>
      <c r="K14" s="83">
        <v>0.44800000000000001</v>
      </c>
      <c r="L14" s="83">
        <v>0.442</v>
      </c>
      <c r="M14" s="83">
        <v>0.442</v>
      </c>
      <c r="N14" s="83">
        <v>0.442</v>
      </c>
      <c r="O14" s="83">
        <v>0.442</v>
      </c>
    </row>
    <row r="15" spans="1:15" ht="15.75" customHeight="1" x14ac:dyDescent="0.2">
      <c r="B15" s="16" t="s">
        <v>68</v>
      </c>
      <c r="C15" s="80">
        <f t="shared" ref="C15:O15" si="0">iron_deficiency_anaemia*C14</f>
        <v>0.22445720000000002</v>
      </c>
      <c r="D15" s="80">
        <f t="shared" si="0"/>
        <v>0.22445720000000002</v>
      </c>
      <c r="E15" s="80">
        <f t="shared" si="0"/>
        <v>0.22445720000000002</v>
      </c>
      <c r="F15" s="80">
        <f t="shared" si="0"/>
        <v>0.22445720000000002</v>
      </c>
      <c r="G15" s="80">
        <f t="shared" si="0"/>
        <v>0.22445720000000002</v>
      </c>
      <c r="H15" s="80">
        <f t="shared" si="0"/>
        <v>0.18085760000000001</v>
      </c>
      <c r="I15" s="80">
        <f t="shared" si="0"/>
        <v>0.18085760000000001</v>
      </c>
      <c r="J15" s="80">
        <f t="shared" si="0"/>
        <v>0.18085760000000001</v>
      </c>
      <c r="K15" s="80">
        <f t="shared" si="0"/>
        <v>0.18085760000000001</v>
      </c>
      <c r="L15" s="80">
        <f t="shared" si="0"/>
        <v>0.17843539999999999</v>
      </c>
      <c r="M15" s="80">
        <f t="shared" si="0"/>
        <v>0.17843539999999999</v>
      </c>
      <c r="N15" s="80">
        <f t="shared" si="0"/>
        <v>0.17843539999999999</v>
      </c>
      <c r="O15" s="80">
        <f t="shared" si="0"/>
        <v>0.17843539999999999</v>
      </c>
    </row>
    <row r="16" spans="1:15" ht="15.75" customHeight="1" x14ac:dyDescent="0.2">
      <c r="C16" s="8"/>
      <c r="D16" s="8"/>
      <c r="E16" s="8"/>
      <c r="F16" s="8"/>
      <c r="G16" s="8"/>
    </row>
    <row r="17" spans="3:7" ht="15.75" customHeight="1" x14ac:dyDescent="0.2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7600"/>
  </sheetPr>
  <dimension ref="A1:G5"/>
  <sheetViews>
    <sheetView zoomScaleNormal="100" workbookViewId="0">
      <selection activeCell="C1" sqref="C1:G5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7" t="str">
        <f>"Percentage of children in each category in baseline year ("&amp;start_year&amp;")"</f>
        <v>Percentage of children in each category in baseline year (2017)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">
      <c r="A2" s="3" t="s">
        <v>24</v>
      </c>
      <c r="B2" s="43" t="s">
        <v>166</v>
      </c>
      <c r="C2" s="81">
        <v>0.74072727272727268</v>
      </c>
      <c r="D2" s="81">
        <v>0.43162679425837319</v>
      </c>
      <c r="E2" s="81">
        <v>0.14899999999999999</v>
      </c>
      <c r="F2" s="81">
        <v>6.3E-2</v>
      </c>
      <c r="G2" s="81">
        <v>1.7999999999999999E-2</v>
      </c>
    </row>
    <row r="3" spans="1:7" x14ac:dyDescent="0.2">
      <c r="B3" s="43" t="s">
        <v>167</v>
      </c>
      <c r="C3" s="81">
        <v>3.2088208820882112E-2</v>
      </c>
      <c r="D3" s="81">
        <v>4.3557572776461134E-2</v>
      </c>
      <c r="E3" s="81">
        <v>4.1000000000000002E-2</v>
      </c>
      <c r="F3" s="81">
        <v>3.4000000000000002E-2</v>
      </c>
      <c r="G3" s="81">
        <v>8.9999999999999993E-3</v>
      </c>
    </row>
    <row r="4" spans="1:7" x14ac:dyDescent="0.2">
      <c r="B4" s="43" t="s">
        <v>168</v>
      </c>
      <c r="C4" s="81">
        <v>0.18739513951395151</v>
      </c>
      <c r="D4" s="81">
        <v>0.48125806018870471</v>
      </c>
      <c r="E4" s="81">
        <v>0.73645266594124037</v>
      </c>
      <c r="F4" s="81">
        <v>0.67578655901731099</v>
      </c>
      <c r="G4" s="81">
        <v>0.40899999999999997</v>
      </c>
    </row>
    <row r="5" spans="1:7" x14ac:dyDescent="0.2">
      <c r="B5" s="43" t="s">
        <v>169</v>
      </c>
      <c r="C5" s="80">
        <v>3.9789378937893707E-2</v>
      </c>
      <c r="D5" s="80">
        <v>4.3557572776461058E-2</v>
      </c>
      <c r="E5" s="80">
        <v>7.3547334058759573E-2</v>
      </c>
      <c r="F5" s="80">
        <v>0.22721344098268903</v>
      </c>
      <c r="G5" s="80">
        <v>0.56400000000000006</v>
      </c>
    </row>
  </sheetData>
  <sheetProtection selectLockedCells="1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600"/>
  </sheetPr>
  <dimension ref="A1:K14"/>
  <sheetViews>
    <sheetView zoomScale="115" zoomScaleNormal="115" workbookViewId="0">
      <selection activeCell="B14" sqref="B14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138</v>
      </c>
      <c r="B1" s="4" t="s">
        <v>145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139</v>
      </c>
      <c r="B2" s="14" t="s">
        <v>143</v>
      </c>
      <c r="C2" s="28"/>
      <c r="D2" s="28"/>
      <c r="E2" s="28"/>
      <c r="F2" s="28"/>
      <c r="G2" s="28"/>
      <c r="H2" s="28"/>
      <c r="I2" s="28"/>
      <c r="J2" s="28"/>
      <c r="K2" s="28"/>
    </row>
    <row r="3" spans="1:11" x14ac:dyDescent="0.2">
      <c r="B3" s="14"/>
    </row>
    <row r="4" spans="1:11" x14ac:dyDescent="0.2">
      <c r="A4" t="s">
        <v>140</v>
      </c>
      <c r="B4" s="14" t="s">
        <v>143</v>
      </c>
      <c r="C4" s="28"/>
      <c r="D4" s="28"/>
      <c r="E4" s="28"/>
      <c r="F4" s="28"/>
      <c r="G4" s="28"/>
      <c r="H4" s="28"/>
      <c r="I4" s="28"/>
      <c r="J4" s="28"/>
      <c r="K4" s="28"/>
    </row>
    <row r="5" spans="1:11" x14ac:dyDescent="0.2">
      <c r="B5" s="14"/>
    </row>
    <row r="6" spans="1:11" x14ac:dyDescent="0.2">
      <c r="A6" t="s">
        <v>141</v>
      </c>
      <c r="B6" s="14" t="s">
        <v>143</v>
      </c>
      <c r="C6" s="28"/>
      <c r="D6" s="28"/>
      <c r="E6" s="28"/>
      <c r="F6" s="28"/>
      <c r="G6" s="28"/>
      <c r="H6" s="28"/>
      <c r="I6" s="28"/>
      <c r="J6" s="28"/>
      <c r="K6" s="28"/>
    </row>
    <row r="7" spans="1:11" x14ac:dyDescent="0.2">
      <c r="B7" s="14" t="s">
        <v>32</v>
      </c>
      <c r="C7" s="28"/>
      <c r="D7" s="28"/>
      <c r="E7" s="28"/>
      <c r="F7" s="28"/>
      <c r="G7" s="28"/>
      <c r="H7" s="28"/>
      <c r="I7" s="28"/>
      <c r="J7" s="28"/>
      <c r="K7" s="28"/>
    </row>
    <row r="8" spans="1:11" x14ac:dyDescent="0.2">
      <c r="B8" s="14" t="s">
        <v>144</v>
      </c>
      <c r="C8" s="28"/>
      <c r="D8" s="28"/>
      <c r="E8" s="28"/>
      <c r="F8" s="28"/>
      <c r="G8" s="28"/>
      <c r="H8" s="28"/>
      <c r="I8" s="28"/>
      <c r="J8" s="28"/>
      <c r="K8" s="28"/>
    </row>
    <row r="10" spans="1:11" x14ac:dyDescent="0.2">
      <c r="A10" t="s">
        <v>142</v>
      </c>
      <c r="B10" s="16" t="s">
        <v>147</v>
      </c>
      <c r="C10" s="28"/>
      <c r="D10" s="28"/>
      <c r="E10" s="28"/>
      <c r="F10" s="28"/>
      <c r="G10" s="28"/>
      <c r="H10" s="28"/>
      <c r="I10" s="28"/>
      <c r="J10" s="28"/>
      <c r="K10" s="28"/>
    </row>
    <row r="11" spans="1:11" x14ac:dyDescent="0.2">
      <c r="B11" s="34" t="s">
        <v>146</v>
      </c>
      <c r="C11" s="28"/>
      <c r="D11" s="28"/>
      <c r="E11" s="28"/>
      <c r="F11" s="28"/>
      <c r="G11" s="28"/>
      <c r="H11" s="28"/>
      <c r="I11" s="28"/>
      <c r="J11" s="28"/>
      <c r="K11" s="28"/>
    </row>
    <row r="13" spans="1:11" x14ac:dyDescent="0.2">
      <c r="A13" s="12" t="s">
        <v>74</v>
      </c>
      <c r="B13" s="34" t="s">
        <v>148</v>
      </c>
      <c r="C13" s="28"/>
      <c r="D13" s="28"/>
      <c r="E13" s="28"/>
      <c r="F13" s="28"/>
      <c r="G13" s="28"/>
      <c r="H13" s="28"/>
      <c r="I13" s="28"/>
      <c r="J13" s="28"/>
      <c r="K13" s="28"/>
    </row>
    <row r="14" spans="1:11" x14ac:dyDescent="0.2">
      <c r="B14" s="16" t="s">
        <v>170</v>
      </c>
      <c r="C14" s="28"/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E21"/>
  <sheetViews>
    <sheetView tabSelected="1" zoomScale="115" zoomScaleNormal="115" workbookViewId="0">
      <selection activeCell="D20" sqref="D20"/>
    </sheetView>
  </sheetViews>
  <sheetFormatPr defaultColWidth="11.42578125" defaultRowHeight="12.75" x14ac:dyDescent="0.2"/>
  <cols>
    <col min="1" max="1" width="17" style="35" customWidth="1"/>
    <col min="2" max="2" width="19.140625" style="35" customWidth="1"/>
    <col min="3" max="3" width="13.42578125" style="35" customWidth="1"/>
    <col min="4" max="16384" width="11.42578125" style="35"/>
  </cols>
  <sheetData>
    <row r="1" spans="1:5" x14ac:dyDescent="0.2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x14ac:dyDescent="0.2">
      <c r="A2" s="49" t="s">
        <v>173</v>
      </c>
      <c r="B2" s="46" t="s">
        <v>32</v>
      </c>
      <c r="C2" s="84"/>
      <c r="D2" s="84"/>
      <c r="E2" s="61" t="str">
        <f>IF(E$7="","",E$7)</f>
        <v/>
      </c>
    </row>
    <row r="3" spans="1:5" x14ac:dyDescent="0.2">
      <c r="A3" s="47"/>
      <c r="B3" s="46" t="s">
        <v>1</v>
      </c>
      <c r="C3" s="84"/>
      <c r="D3" s="84"/>
      <c r="E3" s="61" t="str">
        <f>IF(E$7="","",E$7)</f>
        <v/>
      </c>
    </row>
    <row r="4" spans="1:5" x14ac:dyDescent="0.2">
      <c r="A4" s="47"/>
      <c r="B4" s="46" t="s">
        <v>2</v>
      </c>
      <c r="C4" s="84"/>
      <c r="D4" s="84"/>
      <c r="E4" s="61" t="str">
        <f>IF(E$7="","",E$7)</f>
        <v/>
      </c>
    </row>
    <row r="5" spans="1:5" x14ac:dyDescent="0.2">
      <c r="A5" s="47"/>
      <c r="B5" s="46" t="s">
        <v>3</v>
      </c>
      <c r="C5" s="84"/>
      <c r="D5" s="84"/>
      <c r="E5" s="61" t="str">
        <f>IF(E$7="","",E$7)</f>
        <v/>
      </c>
    </row>
    <row r="6" spans="1:5" x14ac:dyDescent="0.2">
      <c r="A6" s="47"/>
      <c r="B6" s="46" t="s">
        <v>4</v>
      </c>
      <c r="C6" s="84"/>
      <c r="D6" s="84" t="s">
        <v>194</v>
      </c>
      <c r="E6" s="61" t="str">
        <f>IF(E$7="","",E$7)</f>
        <v/>
      </c>
    </row>
    <row r="7" spans="1:5" x14ac:dyDescent="0.2">
      <c r="A7" s="47"/>
      <c r="B7" s="46" t="s">
        <v>172</v>
      </c>
      <c r="C7" s="45"/>
      <c r="D7" s="44"/>
      <c r="E7" s="84"/>
    </row>
    <row r="9" spans="1:5" x14ac:dyDescent="0.2">
      <c r="A9" s="49" t="s">
        <v>199</v>
      </c>
      <c r="B9" s="46" t="s">
        <v>32</v>
      </c>
      <c r="C9" s="84"/>
      <c r="D9" s="84"/>
      <c r="E9" s="61" t="str">
        <f>IF(E$7="","",E$7)</f>
        <v/>
      </c>
    </row>
    <row r="10" spans="1:5" x14ac:dyDescent="0.2">
      <c r="A10" s="47"/>
      <c r="B10" s="46" t="s">
        <v>1</v>
      </c>
      <c r="C10" s="84"/>
      <c r="D10" s="84"/>
      <c r="E10" s="61" t="str">
        <f>IF(E$7="","",E$7)</f>
        <v/>
      </c>
    </row>
    <row r="11" spans="1:5" x14ac:dyDescent="0.2">
      <c r="A11" s="47"/>
      <c r="B11" s="46" t="s">
        <v>2</v>
      </c>
      <c r="C11" s="84"/>
      <c r="D11" s="84"/>
      <c r="E11" s="61" t="str">
        <f>IF(E$7="","",E$7)</f>
        <v/>
      </c>
    </row>
    <row r="12" spans="1:5" x14ac:dyDescent="0.2">
      <c r="A12" s="47"/>
      <c r="B12" s="46" t="s">
        <v>3</v>
      </c>
      <c r="C12" s="84"/>
      <c r="D12" s="84"/>
      <c r="E12" s="61" t="str">
        <f>IF(E$7="","",E$7)</f>
        <v/>
      </c>
    </row>
    <row r="13" spans="1:5" x14ac:dyDescent="0.2">
      <c r="A13" s="47"/>
      <c r="B13" s="46" t="s">
        <v>4</v>
      </c>
      <c r="C13" s="84"/>
      <c r="D13" s="84" t="s">
        <v>194</v>
      </c>
      <c r="E13" s="61" t="str">
        <f>IF(E$7="","",E$7)</f>
        <v/>
      </c>
    </row>
    <row r="14" spans="1:5" x14ac:dyDescent="0.2">
      <c r="A14" s="47"/>
      <c r="B14" s="46" t="s">
        <v>172</v>
      </c>
      <c r="C14" s="45"/>
      <c r="D14" s="44"/>
      <c r="E14" s="84"/>
    </row>
    <row r="16" spans="1:5" x14ac:dyDescent="0.2">
      <c r="A16" s="49" t="s">
        <v>200</v>
      </c>
      <c r="B16" s="46" t="s">
        <v>32</v>
      </c>
      <c r="C16" s="84"/>
      <c r="D16" s="84"/>
      <c r="E16" s="61" t="str">
        <f>IF(E$7="","",E$7)</f>
        <v/>
      </c>
    </row>
    <row r="17" spans="1:5" x14ac:dyDescent="0.2">
      <c r="A17" s="47"/>
      <c r="B17" s="46" t="s">
        <v>1</v>
      </c>
      <c r="C17" s="84"/>
      <c r="D17" s="84"/>
      <c r="E17" s="61" t="str">
        <f>IF(E$7="","",E$7)</f>
        <v/>
      </c>
    </row>
    <row r="18" spans="1:5" x14ac:dyDescent="0.2">
      <c r="A18" s="47"/>
      <c r="B18" s="46" t="s">
        <v>2</v>
      </c>
      <c r="C18" s="84"/>
      <c r="D18" s="84"/>
      <c r="E18" s="61" t="str">
        <f>IF(E$7="","",E$7)</f>
        <v/>
      </c>
    </row>
    <row r="19" spans="1:5" x14ac:dyDescent="0.2">
      <c r="A19" s="47"/>
      <c r="B19" s="46" t="s">
        <v>3</v>
      </c>
      <c r="C19" s="84"/>
      <c r="D19" s="84"/>
      <c r="E19" s="61" t="str">
        <f>IF(E$7="","",E$7)</f>
        <v/>
      </c>
    </row>
    <row r="20" spans="1:5" x14ac:dyDescent="0.2">
      <c r="A20" s="47"/>
      <c r="B20" s="46" t="s">
        <v>4</v>
      </c>
      <c r="C20" s="84"/>
      <c r="D20" s="84" t="s">
        <v>194</v>
      </c>
      <c r="E20" s="61" t="str">
        <f>IF(E$7="","",E$7)</f>
        <v/>
      </c>
    </row>
    <row r="21" spans="1:5" x14ac:dyDescent="0.2">
      <c r="A21" s="47"/>
      <c r="B21" s="46" t="s">
        <v>172</v>
      </c>
      <c r="C21" s="45"/>
      <c r="D21" s="44"/>
      <c r="E21" s="84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64" t="s">
        <v>164</v>
      </c>
      <c r="B1" s="51" t="s">
        <v>181</v>
      </c>
      <c r="C1" s="65" t="s">
        <v>182</v>
      </c>
      <c r="D1" s="65" t="s">
        <v>186</v>
      </c>
    </row>
    <row r="2" spans="1:4" x14ac:dyDescent="0.2">
      <c r="A2" s="65" t="s">
        <v>69</v>
      </c>
      <c r="B2" s="46" t="s">
        <v>67</v>
      </c>
      <c r="C2" s="46" t="s">
        <v>183</v>
      </c>
      <c r="D2" s="84"/>
    </row>
    <row r="3" spans="1:4" x14ac:dyDescent="0.2">
      <c r="A3" s="65" t="s">
        <v>185</v>
      </c>
      <c r="B3" s="46" t="s">
        <v>176</v>
      </c>
      <c r="C3" s="46" t="s">
        <v>184</v>
      </c>
      <c r="D3" s="84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-0.249977111117893"/>
  </sheetPr>
  <dimension ref="A1:F39"/>
  <sheetViews>
    <sheetView workbookViewId="0">
      <selection activeCell="E2" sqref="E2:E38"/>
    </sheetView>
  </sheetViews>
  <sheetFormatPr defaultColWidth="14.42578125" defaultRowHeight="15.75" customHeight="1" x14ac:dyDescent="0.2"/>
  <cols>
    <col min="1" max="1" width="56" style="52" customWidth="1"/>
    <col min="2" max="2" width="20" style="36" customWidth="1"/>
    <col min="3" max="3" width="20.42578125" style="35" customWidth="1"/>
    <col min="4" max="4" width="20.140625" style="35" customWidth="1"/>
    <col min="5" max="5" width="32.28515625" style="35" bestFit="1" customWidth="1"/>
    <col min="6" max="16384" width="14.42578125" style="35"/>
  </cols>
  <sheetData>
    <row r="1" spans="1:5" ht="25.5" x14ac:dyDescent="0.2">
      <c r="A1" s="54" t="s">
        <v>69</v>
      </c>
      <c r="B1" s="66" t="str">
        <f>"Baseline ("&amp;start_year&amp;") coverage"</f>
        <v>Baseline (2017) coverage</v>
      </c>
      <c r="C1" s="53" t="s">
        <v>201</v>
      </c>
      <c r="D1" s="53" t="s">
        <v>207</v>
      </c>
      <c r="E1" s="53" t="s">
        <v>206</v>
      </c>
    </row>
    <row r="2" spans="1:5" ht="15.75" customHeight="1" x14ac:dyDescent="0.2">
      <c r="A2" s="52" t="s">
        <v>29</v>
      </c>
      <c r="B2" s="85">
        <v>0</v>
      </c>
      <c r="C2" s="85">
        <v>0.95</v>
      </c>
      <c r="D2" s="86">
        <v>28.02</v>
      </c>
      <c r="E2" s="86" t="s">
        <v>203</v>
      </c>
    </row>
    <row r="3" spans="1:5" ht="15.75" customHeight="1" x14ac:dyDescent="0.2">
      <c r="A3" s="52" t="s">
        <v>86</v>
      </c>
      <c r="B3" s="85">
        <v>0</v>
      </c>
      <c r="C3" s="85">
        <v>0.95</v>
      </c>
      <c r="D3" s="86">
        <v>10.27</v>
      </c>
      <c r="E3" s="86" t="s">
        <v>203</v>
      </c>
    </row>
    <row r="4" spans="1:5" ht="15.75" customHeight="1" x14ac:dyDescent="0.2">
      <c r="A4" s="52" t="s">
        <v>61</v>
      </c>
      <c r="B4" s="85">
        <v>0</v>
      </c>
      <c r="C4" s="85">
        <v>0.95</v>
      </c>
      <c r="D4" s="86">
        <v>63.27</v>
      </c>
      <c r="E4" s="86" t="s">
        <v>203</v>
      </c>
    </row>
    <row r="5" spans="1:5" ht="15.75" customHeight="1" x14ac:dyDescent="0.2">
      <c r="A5" s="52" t="s">
        <v>149</v>
      </c>
      <c r="B5" s="85">
        <v>0</v>
      </c>
      <c r="C5" s="85">
        <v>0.95</v>
      </c>
      <c r="D5" s="86">
        <v>1</v>
      </c>
      <c r="E5" s="86" t="s">
        <v>203</v>
      </c>
    </row>
    <row r="6" spans="1:5" ht="15.75" customHeight="1" x14ac:dyDescent="0.2">
      <c r="A6" s="52" t="s">
        <v>198</v>
      </c>
      <c r="B6" s="85">
        <v>0.38700000000000001</v>
      </c>
      <c r="C6" s="85">
        <v>0.95</v>
      </c>
      <c r="D6" s="86">
        <v>1</v>
      </c>
      <c r="E6" s="86" t="s">
        <v>203</v>
      </c>
    </row>
    <row r="7" spans="1:5" ht="15.75" customHeight="1" x14ac:dyDescent="0.2">
      <c r="A7" s="52" t="s">
        <v>63</v>
      </c>
      <c r="B7" s="85">
        <v>0</v>
      </c>
      <c r="C7" s="85">
        <v>0.95</v>
      </c>
      <c r="D7" s="86">
        <v>0.16</v>
      </c>
      <c r="E7" s="86" t="s">
        <v>203</v>
      </c>
    </row>
    <row r="8" spans="1:5" ht="15.75" customHeight="1" x14ac:dyDescent="0.2">
      <c r="A8" s="52" t="s">
        <v>64</v>
      </c>
      <c r="B8" s="85">
        <v>0</v>
      </c>
      <c r="C8" s="85">
        <v>0.95</v>
      </c>
      <c r="D8" s="86">
        <v>1.47</v>
      </c>
      <c r="E8" s="86" t="s">
        <v>203</v>
      </c>
    </row>
    <row r="9" spans="1:5" ht="15.75" customHeight="1" x14ac:dyDescent="0.2">
      <c r="A9" s="52" t="s">
        <v>62</v>
      </c>
      <c r="B9" s="85">
        <v>0</v>
      </c>
      <c r="C9" s="85">
        <v>0.95</v>
      </c>
      <c r="D9" s="86">
        <v>0.21</v>
      </c>
      <c r="E9" s="86" t="s">
        <v>203</v>
      </c>
    </row>
    <row r="10" spans="1:5" ht="15.75" customHeight="1" x14ac:dyDescent="0.2">
      <c r="A10" s="63" t="s">
        <v>188</v>
      </c>
      <c r="B10" s="85">
        <v>0</v>
      </c>
      <c r="C10" s="85">
        <v>0.95</v>
      </c>
      <c r="D10" s="86">
        <v>0.28999999999999998</v>
      </c>
      <c r="E10" s="86" t="s">
        <v>203</v>
      </c>
    </row>
    <row r="11" spans="1:5" ht="15.75" customHeight="1" x14ac:dyDescent="0.2">
      <c r="A11" s="63" t="s">
        <v>208</v>
      </c>
      <c r="B11" s="85">
        <v>0</v>
      </c>
      <c r="C11" s="85">
        <v>0.95</v>
      </c>
      <c r="D11" s="86">
        <v>2.15</v>
      </c>
      <c r="E11" s="86" t="s">
        <v>203</v>
      </c>
    </row>
    <row r="12" spans="1:5" ht="15.75" customHeight="1" x14ac:dyDescent="0.2">
      <c r="A12" s="63" t="s">
        <v>189</v>
      </c>
      <c r="B12" s="85">
        <v>0</v>
      </c>
      <c r="C12" s="85">
        <v>0.95</v>
      </c>
      <c r="D12" s="86">
        <v>0.25</v>
      </c>
      <c r="E12" s="86" t="s">
        <v>203</v>
      </c>
    </row>
    <row r="13" spans="1:5" ht="15.75" customHeight="1" x14ac:dyDescent="0.2">
      <c r="A13" s="63" t="s">
        <v>190</v>
      </c>
      <c r="B13" s="85">
        <v>0</v>
      </c>
      <c r="C13" s="85">
        <v>0.95</v>
      </c>
      <c r="D13" s="86">
        <v>0.65</v>
      </c>
      <c r="E13" s="86" t="s">
        <v>203</v>
      </c>
    </row>
    <row r="14" spans="1:5" ht="15.75" customHeight="1" x14ac:dyDescent="0.2">
      <c r="A14" s="11" t="s">
        <v>187</v>
      </c>
      <c r="B14" s="85">
        <v>0</v>
      </c>
      <c r="C14" s="85">
        <v>0.95</v>
      </c>
      <c r="D14" s="86">
        <v>0.73</v>
      </c>
      <c r="E14" s="86" t="s">
        <v>203</v>
      </c>
    </row>
    <row r="15" spans="1:5" ht="15.75" customHeight="1" x14ac:dyDescent="0.2">
      <c r="A15" s="11" t="s">
        <v>209</v>
      </c>
      <c r="B15" s="85">
        <v>0</v>
      </c>
      <c r="C15" s="85">
        <v>0.95</v>
      </c>
      <c r="D15" s="86">
        <v>1.78</v>
      </c>
      <c r="E15" s="86" t="s">
        <v>203</v>
      </c>
    </row>
    <row r="16" spans="1:5" ht="15.75" customHeight="1" x14ac:dyDescent="0.2">
      <c r="A16" s="52" t="s">
        <v>57</v>
      </c>
      <c r="B16" s="85">
        <v>0</v>
      </c>
      <c r="C16" s="85">
        <v>0.95</v>
      </c>
      <c r="D16" s="86">
        <v>2.27</v>
      </c>
      <c r="E16" s="86" t="s">
        <v>203</v>
      </c>
    </row>
    <row r="17" spans="1:5" ht="15.75" customHeight="1" x14ac:dyDescent="0.2">
      <c r="A17" s="52" t="s">
        <v>47</v>
      </c>
      <c r="B17" s="85">
        <v>0</v>
      </c>
      <c r="C17" s="85">
        <v>0.95</v>
      </c>
      <c r="D17" s="86">
        <v>0.25</v>
      </c>
      <c r="E17" s="86" t="s">
        <v>203</v>
      </c>
    </row>
    <row r="18" spans="1:5" ht="15.95" customHeight="1" x14ac:dyDescent="0.2">
      <c r="A18" s="52" t="s">
        <v>173</v>
      </c>
      <c r="B18" s="85">
        <v>0.57099999999999995</v>
      </c>
      <c r="C18" s="85">
        <v>0.95</v>
      </c>
      <c r="D18" s="87">
        <v>5.66</v>
      </c>
      <c r="E18" s="86" t="s">
        <v>203</v>
      </c>
    </row>
    <row r="19" spans="1:5" ht="15.75" customHeight="1" x14ac:dyDescent="0.2">
      <c r="A19" s="52" t="s">
        <v>199</v>
      </c>
      <c r="B19" s="85">
        <v>0</v>
      </c>
      <c r="C19" s="85">
        <v>0.95</v>
      </c>
      <c r="D19" s="87">
        <v>5.66</v>
      </c>
      <c r="E19" s="86" t="s">
        <v>203</v>
      </c>
    </row>
    <row r="20" spans="1:5" ht="15.75" customHeight="1" x14ac:dyDescent="0.2">
      <c r="A20" s="52" t="s">
        <v>200</v>
      </c>
      <c r="B20" s="85">
        <v>0</v>
      </c>
      <c r="C20" s="85">
        <v>0.95</v>
      </c>
      <c r="D20" s="87">
        <v>5.66</v>
      </c>
      <c r="E20" s="86" t="s">
        <v>203</v>
      </c>
    </row>
    <row r="21" spans="1:5" ht="15.75" customHeight="1" x14ac:dyDescent="0.2">
      <c r="A21" s="52" t="s">
        <v>196</v>
      </c>
      <c r="B21" s="85">
        <v>0</v>
      </c>
      <c r="C21" s="85">
        <v>0.95</v>
      </c>
      <c r="D21" s="86">
        <v>8.84</v>
      </c>
      <c r="E21" s="86" t="s">
        <v>203</v>
      </c>
    </row>
    <row r="22" spans="1:5" ht="15.75" customHeight="1" x14ac:dyDescent="0.2">
      <c r="A22" s="52" t="s">
        <v>136</v>
      </c>
      <c r="B22" s="85">
        <v>0</v>
      </c>
      <c r="C22" s="85">
        <v>0.95</v>
      </c>
      <c r="D22" s="86">
        <v>50</v>
      </c>
      <c r="E22" s="86" t="s">
        <v>203</v>
      </c>
    </row>
    <row r="23" spans="1:5" ht="15.75" customHeight="1" x14ac:dyDescent="0.2">
      <c r="A23" s="52" t="s">
        <v>34</v>
      </c>
      <c r="B23" s="85">
        <v>0.59499999999999997</v>
      </c>
      <c r="C23" s="85">
        <v>0.95</v>
      </c>
      <c r="D23" s="86">
        <v>2.61</v>
      </c>
      <c r="E23" s="86" t="s">
        <v>203</v>
      </c>
    </row>
    <row r="24" spans="1:5" ht="15.75" customHeight="1" x14ac:dyDescent="0.2">
      <c r="A24" s="52" t="s">
        <v>88</v>
      </c>
      <c r="B24" s="85">
        <v>0.38900000000000001</v>
      </c>
      <c r="C24" s="85">
        <v>0.95</v>
      </c>
      <c r="D24" s="86">
        <v>1</v>
      </c>
      <c r="E24" s="86" t="s">
        <v>203</v>
      </c>
    </row>
    <row r="25" spans="1:5" ht="15.75" customHeight="1" x14ac:dyDescent="0.2">
      <c r="A25" s="52" t="s">
        <v>87</v>
      </c>
      <c r="B25" s="85">
        <v>6.0000000000000001E-3</v>
      </c>
      <c r="C25" s="85">
        <v>0.95</v>
      </c>
      <c r="D25" s="86">
        <v>1</v>
      </c>
      <c r="E25" s="86" t="s">
        <v>203</v>
      </c>
    </row>
    <row r="26" spans="1:5" ht="15.75" customHeight="1" x14ac:dyDescent="0.2">
      <c r="A26" s="52" t="s">
        <v>137</v>
      </c>
      <c r="B26" s="85">
        <v>0</v>
      </c>
      <c r="C26" s="85">
        <v>0.95</v>
      </c>
      <c r="D26" s="86">
        <v>1</v>
      </c>
      <c r="E26" s="86" t="s">
        <v>203</v>
      </c>
    </row>
    <row r="27" spans="1:5" ht="15.75" customHeight="1" x14ac:dyDescent="0.2">
      <c r="A27" s="52" t="s">
        <v>59</v>
      </c>
      <c r="B27" s="85">
        <v>0</v>
      </c>
      <c r="C27" s="85">
        <v>0.95</v>
      </c>
      <c r="D27" s="86">
        <v>2.99</v>
      </c>
      <c r="E27" s="86" t="s">
        <v>203</v>
      </c>
    </row>
    <row r="28" spans="1:5" ht="15.75" customHeight="1" x14ac:dyDescent="0.2">
      <c r="A28" s="52" t="s">
        <v>84</v>
      </c>
      <c r="B28" s="85">
        <v>0.08</v>
      </c>
      <c r="C28" s="85">
        <v>0.95</v>
      </c>
      <c r="D28" s="86">
        <v>2.2000000000000002</v>
      </c>
      <c r="E28" s="86" t="s">
        <v>203</v>
      </c>
    </row>
    <row r="29" spans="1:5" ht="15.75" customHeight="1" x14ac:dyDescent="0.2">
      <c r="A29" s="52" t="s">
        <v>58</v>
      </c>
      <c r="B29" s="85">
        <v>0.57099999999999995</v>
      </c>
      <c r="C29" s="85">
        <v>0.95</v>
      </c>
      <c r="D29" s="86">
        <v>56.03</v>
      </c>
      <c r="E29" s="86" t="s">
        <v>203</v>
      </c>
    </row>
    <row r="30" spans="1:5" ht="15.75" customHeight="1" x14ac:dyDescent="0.2">
      <c r="A30" s="52" t="s">
        <v>67</v>
      </c>
      <c r="B30" s="85">
        <v>1.7000000000000001E-2</v>
      </c>
      <c r="C30" s="85">
        <v>0.95</v>
      </c>
      <c r="D30" s="86">
        <v>16.9256724</v>
      </c>
      <c r="E30" s="86" t="s">
        <v>203</v>
      </c>
    </row>
    <row r="31" spans="1:5" ht="15.75" customHeight="1" x14ac:dyDescent="0.2">
      <c r="A31" s="52" t="s">
        <v>28</v>
      </c>
      <c r="B31" s="85">
        <v>0.15</v>
      </c>
      <c r="C31" s="85">
        <v>0.95</v>
      </c>
      <c r="D31" s="86">
        <v>2.4900000000000002</v>
      </c>
      <c r="E31" s="86" t="s">
        <v>203</v>
      </c>
    </row>
    <row r="32" spans="1:5" ht="15.75" customHeight="1" x14ac:dyDescent="0.2">
      <c r="A32" s="52" t="s">
        <v>83</v>
      </c>
      <c r="B32" s="85">
        <v>0.17</v>
      </c>
      <c r="C32" s="85">
        <v>0.95</v>
      </c>
      <c r="D32" s="86">
        <v>1</v>
      </c>
      <c r="E32" s="86" t="s">
        <v>203</v>
      </c>
    </row>
    <row r="33" spans="1:6" ht="15.75" customHeight="1" x14ac:dyDescent="0.2">
      <c r="A33" s="52" t="s">
        <v>82</v>
      </c>
      <c r="B33" s="85">
        <v>0</v>
      </c>
      <c r="C33" s="85">
        <v>0.95</v>
      </c>
      <c r="D33" s="86">
        <v>2.8</v>
      </c>
      <c r="E33" s="86" t="s">
        <v>203</v>
      </c>
    </row>
    <row r="34" spans="1:6" ht="15.75" customHeight="1" x14ac:dyDescent="0.2">
      <c r="A34" s="52" t="s">
        <v>81</v>
      </c>
      <c r="B34" s="85">
        <v>0.189</v>
      </c>
      <c r="C34" s="85">
        <v>0.95</v>
      </c>
      <c r="D34" s="86">
        <v>50.26</v>
      </c>
      <c r="E34" s="86" t="s">
        <v>203</v>
      </c>
    </row>
    <row r="35" spans="1:6" ht="15.75" customHeight="1" x14ac:dyDescent="0.2">
      <c r="A35" s="52" t="s">
        <v>79</v>
      </c>
      <c r="B35" s="85">
        <v>0.4</v>
      </c>
      <c r="C35" s="85">
        <v>0.95</v>
      </c>
      <c r="D35" s="86">
        <v>36.1</v>
      </c>
      <c r="E35" s="86" t="s">
        <v>203</v>
      </c>
    </row>
    <row r="36" spans="1:6" s="36" customFormat="1" ht="15.75" customHeight="1" x14ac:dyDescent="0.2">
      <c r="A36" s="52" t="s">
        <v>80</v>
      </c>
      <c r="B36" s="85">
        <v>0</v>
      </c>
      <c r="C36" s="85">
        <v>0.95</v>
      </c>
      <c r="D36" s="86">
        <v>231.85</v>
      </c>
      <c r="E36" s="86" t="s">
        <v>203</v>
      </c>
      <c r="F36" s="35"/>
    </row>
    <row r="37" spans="1:6" ht="15.75" customHeight="1" x14ac:dyDescent="0.2">
      <c r="A37" s="52" t="s">
        <v>85</v>
      </c>
      <c r="B37" s="85">
        <v>0</v>
      </c>
      <c r="C37" s="85">
        <v>0.95</v>
      </c>
      <c r="D37" s="86">
        <v>3.3</v>
      </c>
      <c r="E37" s="86" t="s">
        <v>203</v>
      </c>
    </row>
    <row r="38" spans="1:6" ht="15.75" customHeight="1" x14ac:dyDescent="0.2">
      <c r="A38" s="52" t="s">
        <v>60</v>
      </c>
      <c r="B38" s="85">
        <v>0</v>
      </c>
      <c r="C38" s="85">
        <v>0.95</v>
      </c>
      <c r="D38" s="86">
        <v>5.92</v>
      </c>
      <c r="E38" s="86" t="s">
        <v>203</v>
      </c>
    </row>
    <row r="39" spans="1:6" ht="15.75" customHeight="1" x14ac:dyDescent="0.2">
      <c r="F39" s="36"/>
    </row>
  </sheetData>
  <sheetProtection algorithmName="SHA-512" hashValue="zGqGWUHks9r73YYvhtsA/6n2sxkq6NyOLMnszdwkuYHRGc3RAKyH9yLxkOwoypM6IGMaCGHxxq0vP7rXnZY93w==" saltValue="sA5n05NYbI4nfIN6wumz0A==" spinCount="100000" sheet="1" scenarios="1" selectLockedCells="1"/>
  <sortState ref="A2:D38">
    <sortCondition ref="A2:A38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'Cost curve options'!$A$1:$A$4</xm:f>
          </x14:formula1>
          <xm:sqref>E2:E38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IYCF cost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Debra</cp:lastModifiedBy>
  <dcterms:created xsi:type="dcterms:W3CDTF">2017-08-01T10:42:13Z</dcterms:created>
  <dcterms:modified xsi:type="dcterms:W3CDTF">2019-03-27T04:39:43Z</dcterms:modified>
</cp:coreProperties>
</file>