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1520" yWindow="-14480" windowWidth="20730" windowHeight="11760" tabRatio="961" activeTab="5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45621"/>
</workbook>
</file>

<file path=xl/calcChain.xml><?xml version="1.0" encoding="utf-8"?>
<calcChain xmlns="http://schemas.openxmlformats.org/spreadsheetml/2006/main">
  <c r="C6" i="51" l="1"/>
  <c r="C13" i="51" l="1"/>
  <c r="C14" i="51"/>
  <c r="C11" i="51" l="1"/>
  <c r="C10" i="51"/>
  <c r="C8" i="51"/>
  <c r="C7" i="51"/>
  <c r="C4" i="51"/>
  <c r="C2" i="51"/>
  <c r="C58" i="1" l="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48" i="1"/>
  <c r="H3" i="2"/>
  <c r="H4" i="2"/>
  <c r="I4" i="2" s="1"/>
  <c r="H5" i="2"/>
  <c r="H6" i="2"/>
  <c r="H7" i="2"/>
  <c r="H8" i="2"/>
  <c r="I8" i="2" s="1"/>
  <c r="H9" i="2"/>
  <c r="I9" i="2" s="1"/>
  <c r="H10" i="2"/>
  <c r="H11" i="2"/>
  <c r="H12" i="2"/>
  <c r="H13" i="2"/>
  <c r="H14" i="2"/>
  <c r="H15" i="2"/>
  <c r="I15" i="2" s="1"/>
  <c r="C20" i="1"/>
  <c r="G3" i="2"/>
  <c r="I3" i="2" s="1"/>
  <c r="G4" i="2"/>
  <c r="G5" i="2"/>
  <c r="G6" i="2"/>
  <c r="I6" i="2"/>
  <c r="G7" i="2"/>
  <c r="I7" i="2"/>
  <c r="G8" i="2"/>
  <c r="G9" i="2"/>
  <c r="G10" i="2"/>
  <c r="I10" i="2" s="1"/>
  <c r="G11" i="2"/>
  <c r="I11" i="2"/>
  <c r="G12" i="2"/>
  <c r="I12" i="2" s="1"/>
  <c r="G13" i="2"/>
  <c r="I13" i="2" s="1"/>
  <c r="G14" i="2"/>
  <c r="I14" i="2" s="1"/>
  <c r="G15" i="2"/>
  <c r="G2" i="2"/>
  <c r="I5" i="2"/>
  <c r="I2" i="2"/>
</calcChain>
</file>

<file path=xl/comments1.xml><?xml version="1.0" encoding="utf-8"?>
<comments xmlns="http://schemas.openxmlformats.org/spreadsheetml/2006/main">
  <authors>
    <author>Optima team</author>
    <author>Nick Scott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WPP Annual population both sexes
and 2011 Census
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>: 0-4 population 2017 (thousands)
1,042,546 
15% of total population lives in Momase
=0.15*1,042,546 
=156,382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 xml:space="preserve">Missing data FAO /WB
Source: </t>
        </r>
        <r>
          <rPr>
            <sz val="9"/>
            <color indexed="81"/>
            <rFont val="Tahoma"/>
            <family val="2"/>
          </rPr>
          <t>Asia Development Bank Country Partnership Strategy PNG 2016-2020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https://www.adb.org/sites/default/files/institutional-document/157927/cps-png-2016-2020.pdf ["Country at a glance" page 5]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 Population below poverty line (%) 39.9 [2009]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MIS 2016-2017
page 2/3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"Malaria has been endemic throughout PNG[…] Below 1600 m altitude, 7.1% of the population was infected with malaria parasites, in
highland areas at 1600 m and above, only 0.9%"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 xml:space="preserve">Source: UNESCO institute 
</t>
        </r>
        <r>
          <rPr>
            <sz val="9"/>
            <color indexed="81"/>
            <rFont val="Tahoma"/>
            <family val="2"/>
          </rPr>
          <t xml:space="preserve">http://uis.unesco.org/country/PG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Participation in Education - Secondary education by sex</t>
        </r>
        <r>
          <rPr>
            <b/>
            <sz val="9"/>
            <color indexed="81"/>
            <rFont val="Tahoma"/>
            <family val="2"/>
          </rPr>
          <t xml:space="preserve">
Net enrolment rate (%) female: </t>
        </r>
        <r>
          <rPr>
            <sz val="9"/>
            <color indexed="81"/>
            <rFont val="Tahoma"/>
            <family val="2"/>
          </rPr>
          <t>29.96%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National Health Information System found in SPAR 2016
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>: At least one visit to antenatal care (%) 2016
National: 63%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MIS 2016-2017 
page 44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Children under age 5 with fever seeking care in health facilities (44.5%)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 page 89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Unmet need for family planning among currently married women 29.8%
FYI: Unmet need for men is 22% (pg 90)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  <comment ref="C23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4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5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6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9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0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1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2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7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neonatal mortality rate per 1000 live births = 24.7
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infant mortality rate per 1000 live births = 44.4
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under five mortality rate per 1000 live births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57.1
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Mola G, Kirby B. Discrepancies between national maternal mortality data and international estimates: the experience of Papua New Guinea. Reproductive Health Matters. 2013;21(42):191-202.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In 2015 MMR per 100,000 live births = 500
Maternal mortality per 1000 live births = (500/100) 
= 5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Ranges from 238 (WHO estimates) to 755 (official Government figure from DHS 2006) per 100,000 births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Percent of pregnancies ending in spontaneous abortion (13%)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WHO GHO 
http://apps.who.int/gho/data/node.country.country-PNG?lang=en
</t>
        </r>
        <r>
          <rPr>
            <b/>
            <sz val="9"/>
            <color indexed="81"/>
            <rFont val="Tahoma"/>
            <family val="2"/>
          </rPr>
          <t xml:space="preserve">
Value</t>
        </r>
        <r>
          <rPr>
            <sz val="9"/>
            <color indexed="81"/>
            <rFont val="Tahoma"/>
            <family val="2"/>
          </rPr>
          <t>: Number of neonatal deaths (thousands): 5 in 2015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SPAR 2016 (NHIS data)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Incidence of diarrhoeal disease in children &lt; 5 years (185 cases per 1000 children)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Source</t>
        </r>
        <r>
          <rPr>
            <sz val="9"/>
            <color indexed="81"/>
            <rFont val="Tahoma"/>
            <family val="2"/>
          </rPr>
          <t xml:space="preserve">: National nutrition survey 2005
</t>
        </r>
        <r>
          <rPr>
            <b/>
            <sz val="9"/>
            <color indexed="81"/>
            <rFont val="Tahoma"/>
            <family val="2"/>
          </rPr>
          <t xml:space="preserve">Value: 
</t>
        </r>
        <r>
          <rPr>
            <sz val="9"/>
            <color indexed="81"/>
            <rFont val="Tahoma"/>
            <family val="2"/>
          </rPr>
          <t>Children 6-59 months 
National 22.8% (N=868)
Southern 35.6% (N=194)
Highlands 7.7% (N=195)
Mamose 31.4% (N=236)
Islands 21.8 % (N=243)Non-pregnant 15-49
Women of reproductive age
National 15% (N=742)
Southern 44.2% (N=242)
Highlands 2.3% (N=171)
Mamose 22.6% (N=168)
Islands 23.0% (N=161)
Weighted average = ((868*22.8)+(742*0.15))/(868+742)
= 19.21%</t>
        </r>
      </text>
    </comment>
  </commentList>
</comments>
</file>

<file path=xl/comments10.xml><?xml version="1.0" encoding="utf-8"?>
<comments xmlns="http://schemas.openxmlformats.org/spreadsheetml/2006/main">
  <authors>
    <author>Nick Scott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>
  <authors>
    <author>Optima team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>
  <authors>
    <author>Optima team</author>
    <author>Debra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Annual Child Morbidity and Mortality Report 2017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Hospital deaths for 22 regions 
NB Used same values for all age groups </t>
        </r>
      </text>
    </comment>
    <comment ref="C4" authorId="1">
      <text>
        <r>
          <rPr>
            <b/>
            <sz val="9"/>
            <color indexed="81"/>
            <rFont val="Tahoma"/>
            <charset val="1"/>
          </rPr>
          <t xml:space="preserve">Source: </t>
        </r>
        <r>
          <rPr>
            <sz val="9"/>
            <color indexed="81"/>
            <rFont val="Tahoma"/>
            <family val="2"/>
          </rPr>
          <t>Annual Child Morbidity and Mortality Report 2017</t>
        </r>
        <r>
          <rPr>
            <b/>
            <sz val="9"/>
            <color indexed="81"/>
            <rFont val="Tahoma"/>
            <charset val="1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298 neonatal infections deaths of 601 neonatal deaths reported – page 36) </t>
        </r>
      </text>
    </comment>
    <comment ref="C6" authorId="1">
      <text>
        <r>
          <rPr>
            <b/>
            <sz val="9"/>
            <color indexed="81"/>
            <rFont val="Tahoma"/>
            <charset val="1"/>
          </rPr>
          <t xml:space="preserve">Source: </t>
        </r>
        <r>
          <rPr>
            <sz val="9"/>
            <color indexed="81"/>
            <rFont val="Tahoma"/>
            <family val="2"/>
          </rPr>
          <t>Annual Child Morbidity and Mortality Report 2017</t>
        </r>
        <r>
          <rPr>
            <b/>
            <sz val="9"/>
            <color indexed="81"/>
            <rFont val="Tahoma"/>
            <charset val="1"/>
          </rPr>
          <t xml:space="preserve">
Value: </t>
        </r>
        <r>
          <rPr>
            <sz val="9"/>
            <color indexed="81"/>
            <rFont val="Tahoma"/>
            <family val="2"/>
          </rPr>
          <t>(239 asphyxia deaths out of 601 neonatal deaths reported - page 38)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Annual Child Morbidity and Mortality Report 2017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Hospital deaths for 22 regions 
NB Used same values for all age groups </t>
        </r>
      </text>
    </comment>
  </commentList>
</comments>
</file>

<file path=xl/comments4.xml><?xml version="1.0" encoding="utf-8"?>
<comments xmlns="http://schemas.openxmlformats.org/spreadsheetml/2006/main">
  <authors>
    <author>Optima team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33.1%
Children are classified as stunted if Z scores of height for age are less than 2 SD below the median of the WHO Child Growth Standards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33.1%
Children are classified as stunted if Z scores of height for age are less than 2 SD below the median of the WHO Child Growth Standards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42.7%
Children are classified as stunted if Z scores of height for age are less than 2 SD below the median of the WHO Child Growth Standards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42.7%
Children are classified as stunted if Z scores of height for age are less than 2 SD below the median of the WHO Child Growth Standards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53.4%
Children are classified as stunted if Z scores of height for age are less than 2 SD below the median of the WHO Child Growth Standards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15.7%
Children are classified as stunted if Z scores of height for age are less than 2 SD below the median of the WHO Child Growth Standards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15.7%
Children are classified as stunted if Z scores of height for age are less than 2 SD below the median of the WHO Child Growth Standards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36.2%
Children are classified as stunted if Z scores of height for age are less than 2 SD below the median of the WHO Child Growth Standards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36.2%
Children are classified as stunted if Z scores of height for age are less than 2 SD below the median of the WHO Child Growth Standards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48.2%
Children are classified as stunted if Z scores of height for age are less than 2 SD below the median of the WHO Child Growth Standards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World Bank databank PNG (World development indicators)
row 203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Prevalence of anemia among pregnant women (%)
Applied across all age groups
</t>
        </r>
      </text>
    </comment>
    <comment ref="L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M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</commentList>
</comments>
</file>

<file path=xl/comments5.xml><?xml version="1.0" encoding="utf-8"?>
<comments xmlns="http://schemas.openxmlformats.org/spreadsheetml/2006/main">
  <authors>
    <author>Debra</author>
    <author>Optima team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Original values as no calculation possible due to lack of regional data for this age group regarding breastfeeding</t>
        </r>
      </text>
    </comment>
    <comment ref="C2" authorId="1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&lt;24 hours as a proxy for exclusive breastfeeding in &lt; 1month and 1-5 months age groups. The difference between the regional &lt;24 hour value compared to the &lt;24 hour national value was applied to the original "Exclusive breastfeeding value" from DHS 2006
e.g. 
Breastfeeding within 24 hours of birth:
Southern value: 77.6%
National value 83.60%
Difference = 7%
National exclusive breastfeeding for &lt; 1 month value from DHS 2006 was: 79.8%
Value for Southern region = 79.8%*(1-7%) = 74.1%
Remaining difference was added to the "none" group</t>
        </r>
      </text>
    </comment>
    <comment ref="D2" authorId="1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&lt;24 hours as a proxy for exclusive breastfeeding in &lt; 1month and 1-5 months age groups. The difference between the regional &lt;24 hour value compared to the &lt;24 hour national value was applied to the original "Exclusive breastfeeding value" from DHS 2006
e.g. 
Breastfeeding within 24 hours of birth:
Southern value: 77.6%
National value 83.60%
Difference = 7%
National exclusive breastfeeding for &lt; 1 month value from DHS 2006 was: 79.8%
Value for Southern region = 79.8%*(1-7%) = 74.1%
Remaining difference was added to the "none" group</t>
        </r>
      </text>
    </comment>
    <comment ref="E4" authorId="1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6-11 months and averaged values for 12-17 months &amp; 18-23 months --&gt; 12-23 months as a proxy for partial breastfeeding in 6-11 months and 12-23 months age groups. The difference between the regional breastfeeding value compared to the national breastfeeding value was applied to the original "Partial breastfeeding value" from DHS 2006
e.g. 
Breastfeeding 6-11 months:
Southern value: 90.00%
National value 91.60%
Difference = -1.6%
National partial breastfeeding for 6-11 months from DHS 2006 was: 75.2%
Value for Southern region = 75.2%*(1-(-2)%) = 73.6%
Remaining percentages were added as a weighted value of original 2006 DHS values/</t>
        </r>
      </text>
    </comment>
    <comment ref="F4" authorId="1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6-11 months and averaged values for 12-17 months &amp; 18-23 months --&gt; 12-23 months as a proxy for partial breastfeeding in 6-11 months and 12-23 months age groups. The difference between the regional breastfeeding value compared to the national breastfeeding value was applied to the original "Partial breastfeeding value" from DHS 2006
e.g. 
Breastfeeding 6-11 months:
Southern value: 90.00%
National value 91.60%
Difference = -1.6%
National partial breastfeeding for 6-11 months from DHS 2006 was: 75.2%
Value for Southern region = 75.2%*(1-(-2)%) = 73.6%
Remaining percentages were added as a weighted value of original 2006 DHS values/</t>
        </r>
      </text>
    </comment>
  </commentList>
</comments>
</file>

<file path=xl/comments6.xml><?xml version="1.0" encoding="utf-8"?>
<comments xmlns="http://schemas.openxmlformats.org/spreadsheetml/2006/main">
  <authors>
    <author>Optima team</author>
    <author>Nick Scott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$25.00 (2010)
CPI inflation calculator Jan 2010-Jan 2017 = $28.02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$9.16 (2010)
CPI inflation calculator Jan 2010-Jan 2017 = $10.27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Tanzania analysis 2018
Uses 2013 PSS data hence corrected for inflation (2013: $60, 2017: $63.27)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DHS 2006 table 4.3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Ever use of contraception for all women 38.7%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maize Vietnam $ 0.15 (2015)
$0.16 (2017)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rice Vietnam $ 1.41 (2015)
$1.47 (2017)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wheat flour Vietnam $ 0.20 (2015)
$0.21 (2017)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community health system delivery + supplement Vietnam $ 0.28 (2015)
$0.29 (2017)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hospital/clinic delivery + supplement Vietnam $ 2.07 (2015)
$2.15 (2017)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retailer + supplement Vietnam $ 0.24 (2015)
$0.25 (2017)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in-school program delivery + supplement Vietnam $0.63 (2015)
$0.65 (2017)</t>
        </r>
      </text>
    </comment>
    <comment ref="B16" authorId="0">
      <text>
        <r>
          <rPr>
            <sz val="9"/>
            <color indexed="81"/>
            <rFont val="Tahoma"/>
            <family val="2"/>
          </rPr>
          <t>No data in MIS 2016-2017
WMR 2018
IPTp coverage in SSA for one, two or three doses respectively is 54%/42%/22%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262 (original source White et al 2011)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Sub-Saharan Africa - IPTp $ 2.18 (2015)
$2.27 (2017)</t>
        </r>
      </text>
    </comment>
    <comment ref="B17" authorId="0">
      <text>
        <r>
          <rPr>
            <sz val="9"/>
            <color indexed="81"/>
            <rFont val="Tahoma"/>
            <family val="2"/>
          </rPr>
          <t>LiST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MIS 2016-2017 page 4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
Proportion of pregnant women and children under 5 that slept under an insecticide treated net the previous night were 59.6% and 59.5% respectively  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LiST/DHS 2006 pg 130
</t>
        </r>
        <r>
          <rPr>
            <b/>
            <sz val="9"/>
            <color indexed="81"/>
            <rFont val="Tahoma"/>
            <family val="2"/>
          </rPr>
          <t xml:space="preserve">Value: *not really coverage??* </t>
        </r>
        <r>
          <rPr>
            <sz val="9"/>
            <color indexed="81"/>
            <rFont val="Tahoma"/>
            <family val="2"/>
          </rPr>
          <t>Of the children who were reported to have diarrhoea in the two weeks preceding the survey, 8 percent were given oral rehydration salts</t>
        </r>
      </text>
    </comment>
    <comment ref="D28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Value = $1*2.2
= $2.20
Diarrhoea incidence is the average in children under 5.  See user guide for further information
</t>
        </r>
      </text>
    </comment>
    <comment ref="B29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WPRO B (Western Pacific Region) $50.00 (2010)
CPI inflation calculator Jan 2010-Jan 2017 = $56.03
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WPRO B (Western Pacific Region) $198.25 (2010)
CPI inflation calculator Jan 2010-Jan 2017 = $222.18
Weighted SAM prevalence = =((0.058*1)+(0.058*5)+(0.043*5)+(0.037*11)+(0.02*35))/(1+5+5+11+35)
= 2.93%
Unit cost per person per year = 222.18*0.0293*2.6
= $16.93
</t>
        </r>
        <r>
          <rPr>
            <b/>
            <sz val="9"/>
            <color indexed="81"/>
            <rFont val="Tahoma"/>
            <family val="2"/>
          </rPr>
          <t>FYI:</t>
        </r>
        <r>
          <rPr>
            <sz val="9"/>
            <color indexed="81"/>
            <rFont val="Tahoma"/>
            <family val="2"/>
          </rPr>
          <t xml:space="preserve"> Tanzania $90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$2.22 (2010)
CPI inflation calculator Jan 2010-Jan 2017 = $2.80
FYI Tanzania: 0.40 per child per year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7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= $1.5*2.2
=$3.30
Diarrhoea incidence is the average in children under 5.  See user guide for further information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Coverage zinc supplementation 0.0
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>
  <authors>
    <author>Nick Scott</author>
  </authors>
  <commentList>
    <comment ref="A3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<sst xmlns="http://schemas.openxmlformats.org/spreadsheetml/2006/main" count="1101" uniqueCount="271">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</sst>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xmlns="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opLeftCell="A25" zoomScaleNormal="100" workbookViewId="0">
      <selection activeCell="C11" sqref="C11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156381.9</v>
      </c>
    </row>
    <row r="8" spans="1:3" ht="15" customHeight="1" x14ac:dyDescent="0.25">
      <c r="B8" s="7" t="s">
        <v>106</v>
      </c>
      <c r="C8" s="70">
        <v>0.39900000000000002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0.29959999999999998</v>
      </c>
    </row>
    <row r="11" spans="1:3" ht="15" customHeight="1" x14ac:dyDescent="0.25">
      <c r="B11" s="7" t="s">
        <v>108</v>
      </c>
      <c r="C11" s="70">
        <v>0.69</v>
      </c>
    </row>
    <row r="12" spans="1:3" ht="15" customHeight="1" x14ac:dyDescent="0.25">
      <c r="B12" s="7" t="s">
        <v>109</v>
      </c>
      <c r="C12" s="70">
        <v>0.44500000000000001</v>
      </c>
    </row>
    <row r="13" spans="1:3" ht="15" customHeight="1" x14ac:dyDescent="0.25">
      <c r="B13" s="7" t="s">
        <v>110</v>
      </c>
      <c r="C13" s="70">
        <v>0.29799999999999999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0.8</v>
      </c>
    </row>
    <row r="17" spans="1:3" ht="15" customHeight="1" x14ac:dyDescent="0.25">
      <c r="B17" s="9" t="s">
        <v>95</v>
      </c>
      <c r="C17" s="71">
        <v>0.8</v>
      </c>
    </row>
    <row r="18" spans="1:3" ht="15" customHeight="1" x14ac:dyDescent="0.25">
      <c r="B18" s="9" t="s">
        <v>96</v>
      </c>
      <c r="C18" s="71">
        <v>0.1</v>
      </c>
    </row>
    <row r="19" spans="1:3" ht="15" customHeight="1" x14ac:dyDescent="0.25">
      <c r="B19" s="9" t="s">
        <v>97</v>
      </c>
      <c r="C19" s="71">
        <v>0.1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8.4099999999999994E-2</v>
      </c>
    </row>
    <row r="24" spans="1:3" ht="15" customHeight="1" x14ac:dyDescent="0.25">
      <c r="B24" s="20" t="s">
        <v>102</v>
      </c>
      <c r="C24" s="71">
        <v>0.46600000000000003</v>
      </c>
    </row>
    <row r="25" spans="1:3" ht="15" customHeight="1" x14ac:dyDescent="0.25">
      <c r="B25" s="20" t="s">
        <v>103</v>
      </c>
      <c r="C25" s="71">
        <v>0.34670000000000001</v>
      </c>
    </row>
    <row r="26" spans="1:3" ht="15" customHeight="1" x14ac:dyDescent="0.25">
      <c r="B26" s="20" t="s">
        <v>104</v>
      </c>
      <c r="C26" s="71">
        <v>0.1032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0.223</v>
      </c>
    </row>
    <row r="30" spans="1:3" ht="14.25" customHeight="1" x14ac:dyDescent="0.25">
      <c r="B30" s="30" t="s">
        <v>76</v>
      </c>
      <c r="C30" s="73">
        <v>0.11700000000000001</v>
      </c>
    </row>
    <row r="31" spans="1:3" ht="14.25" customHeight="1" x14ac:dyDescent="0.25">
      <c r="B31" s="30" t="s">
        <v>77</v>
      </c>
      <c r="C31" s="73">
        <v>0.161</v>
      </c>
    </row>
    <row r="32" spans="1:3" ht="14.25" customHeight="1" x14ac:dyDescent="0.25">
      <c r="B32" s="30" t="s">
        <v>78</v>
      </c>
      <c r="C32" s="73">
        <v>0.499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24.7</v>
      </c>
    </row>
    <row r="38" spans="1:5" ht="15" customHeight="1" x14ac:dyDescent="0.25">
      <c r="B38" s="16" t="s">
        <v>91</v>
      </c>
      <c r="C38" s="75">
        <v>44.4</v>
      </c>
      <c r="D38" s="17"/>
      <c r="E38" s="18"/>
    </row>
    <row r="39" spans="1:5" ht="15" customHeight="1" x14ac:dyDescent="0.25">
      <c r="B39" s="16" t="s">
        <v>90</v>
      </c>
      <c r="C39" s="75">
        <v>57.1</v>
      </c>
      <c r="D39" s="17"/>
      <c r="E39" s="17"/>
    </row>
    <row r="40" spans="1:5" ht="15" customHeight="1" x14ac:dyDescent="0.25">
      <c r="B40" s="16" t="s">
        <v>171</v>
      </c>
      <c r="C40" s="75">
        <v>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1.46E-2</v>
      </c>
      <c r="D45" s="17"/>
    </row>
    <row r="46" spans="1:5" ht="15.75" customHeight="1" x14ac:dyDescent="0.25">
      <c r="B46" s="16" t="s">
        <v>11</v>
      </c>
      <c r="C46" s="71">
        <v>5.0799999999999998E-2</v>
      </c>
      <c r="D46" s="17"/>
    </row>
    <row r="47" spans="1:5" ht="15.75" customHeight="1" x14ac:dyDescent="0.25">
      <c r="B47" s="16" t="s">
        <v>12</v>
      </c>
      <c r="C47" s="71">
        <v>0.2014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2.2000000000000002</v>
      </c>
      <c r="D51" s="17"/>
    </row>
    <row r="52" spans="1:4" ht="15" customHeight="1" x14ac:dyDescent="0.25">
      <c r="B52" s="16" t="s">
        <v>125</v>
      </c>
      <c r="C52" s="76">
        <v>2.2000000000000002</v>
      </c>
    </row>
    <row r="53" spans="1:4" ht="15.75" customHeight="1" x14ac:dyDescent="0.25">
      <c r="B53" s="16" t="s">
        <v>126</v>
      </c>
      <c r="C53" s="76">
        <v>2.2000000000000002</v>
      </c>
    </row>
    <row r="54" spans="1:4" ht="15.75" customHeight="1" x14ac:dyDescent="0.25">
      <c r="B54" s="16" t="s">
        <v>127</v>
      </c>
      <c r="C54" s="76">
        <v>2.2000000000000002</v>
      </c>
    </row>
    <row r="55" spans="1:4" ht="15.75" customHeight="1" x14ac:dyDescent="0.25">
      <c r="B55" s="16" t="s">
        <v>128</v>
      </c>
      <c r="C55" s="76">
        <v>2.2000000000000002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f>185/1000</f>
        <v>0.185</v>
      </c>
    </row>
    <row r="59" spans="1:4" ht="15.75" customHeight="1" x14ac:dyDescent="0.25">
      <c r="B59" s="16" t="s">
        <v>132</v>
      </c>
      <c r="C59" s="70">
        <v>0.2228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58</v>
      </c>
      <c r="B4" s="84" t="s">
        <v>136</v>
      </c>
      <c r="C4" s="84"/>
    </row>
    <row r="5" spans="1:3" x14ac:dyDescent="0.25">
      <c r="A5" s="89" t="s">
        <v>137</v>
      </c>
      <c r="B5" s="84" t="s">
        <v>136</v>
      </c>
      <c r="C5" s="84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2.2000000000000002</v>
      </c>
      <c r="C2" s="26">
        <f>'Baseline year population inputs'!C52</f>
        <v>2.2000000000000002</v>
      </c>
      <c r="D2" s="26">
        <f>'Baseline year population inputs'!C53</f>
        <v>2.2000000000000002</v>
      </c>
      <c r="E2" s="26">
        <f>'Baseline year population inputs'!C54</f>
        <v>2.2000000000000002</v>
      </c>
      <c r="F2" s="26">
        <f>'Baseline year population inputs'!C55</f>
        <v>2.2000000000000002</v>
      </c>
    </row>
    <row r="3" spans="1:6" ht="15.75" customHeight="1" x14ac:dyDescent="0.25">
      <c r="A3" s="3" t="s">
        <v>65</v>
      </c>
      <c r="B3" s="26">
        <f>frac_mam_1month * 2.6</f>
        <v>0.88660000000000005</v>
      </c>
      <c r="C3" s="26">
        <f>frac_mam_1_5months * 2.6</f>
        <v>0.88660000000000005</v>
      </c>
      <c r="D3" s="26">
        <f>frac_mam_6_11months * 2.6</f>
        <v>0.51480000000000004</v>
      </c>
      <c r="E3" s="26">
        <f>frac_mam_12_23months * 2.6</f>
        <v>0.43600408163265308</v>
      </c>
      <c r="F3" s="26">
        <f>frac_mam_24_59months * 2.6</f>
        <v>0.32083486842105258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7.8795918367346923E-2</v>
      </c>
      <c r="F4" s="26">
        <f>frac_sam_24_59months * 2.6</f>
        <v>9.7765131578947367E-2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35" sqref="C35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0.39900000000000002</v>
      </c>
      <c r="E2" s="92">
        <f>food_insecure</f>
        <v>0.39900000000000002</v>
      </c>
      <c r="F2" s="92">
        <f>food_insecure</f>
        <v>0.39900000000000002</v>
      </c>
      <c r="G2" s="92">
        <f>food_insecure</f>
        <v>0.39900000000000002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0.39900000000000002</v>
      </c>
      <c r="F5" s="92">
        <f>food_insecure</f>
        <v>0.39900000000000002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8.461538461538462E-2</v>
      </c>
      <c r="D7" s="92">
        <f>diarrhoea_1_5mo/26</f>
        <v>8.461538461538462E-2</v>
      </c>
      <c r="E7" s="92">
        <f>diarrhoea_6_11mo/26</f>
        <v>8.461538461538462E-2</v>
      </c>
      <c r="F7" s="92">
        <f>diarrhoea_12_23mo/26</f>
        <v>8.461538461538462E-2</v>
      </c>
      <c r="G7" s="92">
        <f>diarrhoea_24_59mo/26</f>
        <v>8.461538461538462E-2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0.39900000000000002</v>
      </c>
      <c r="F8" s="92">
        <f>food_insecure</f>
        <v>0.39900000000000002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0.44500000000000001</v>
      </c>
      <c r="E9" s="92">
        <f>IF(ISBLANK(comm_deliv), frac_children_health_facility,1)</f>
        <v>0.44500000000000001</v>
      </c>
      <c r="F9" s="92">
        <f>IF(ISBLANK(comm_deliv), frac_children_health_facility,1)</f>
        <v>0.44500000000000001</v>
      </c>
      <c r="G9" s="92">
        <f>IF(ISBLANK(comm_deliv), frac_children_health_facility,1)</f>
        <v>0.44500000000000001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8.461538461538462E-2</v>
      </c>
      <c r="D11" s="92">
        <f>diarrhoea_1_5mo/26</f>
        <v>8.461538461538462E-2</v>
      </c>
      <c r="E11" s="92">
        <f>diarrhoea_6_11mo/26</f>
        <v>8.461538461538462E-2</v>
      </c>
      <c r="F11" s="92">
        <f>diarrhoea_12_23mo/26</f>
        <v>8.461538461538462E-2</v>
      </c>
      <c r="G11" s="92">
        <f>diarrhoea_24_59mo/26</f>
        <v>8.461538461538462E-2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0.39900000000000002</v>
      </c>
      <c r="I14" s="92">
        <f>food_insecure</f>
        <v>0.39900000000000002</v>
      </c>
      <c r="J14" s="92">
        <f>food_insecure</f>
        <v>0.39900000000000002</v>
      </c>
      <c r="K14" s="92">
        <f>food_insecure</f>
        <v>0.39900000000000002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0.69</v>
      </c>
      <c r="I17" s="92">
        <f>frac_PW_health_facility</f>
        <v>0.69</v>
      </c>
      <c r="J17" s="92">
        <f>frac_PW_health_facility</f>
        <v>0.69</v>
      </c>
      <c r="K17" s="92">
        <f>frac_PW_health_facility</f>
        <v>0.69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0.29799999999999999</v>
      </c>
      <c r="M23" s="92">
        <f>famplan_unmet_need</f>
        <v>0.29799999999999999</v>
      </c>
      <c r="N23" s="92">
        <f>famplan_unmet_need</f>
        <v>0.29799999999999999</v>
      </c>
      <c r="O23" s="92">
        <f>famplan_unmet_need</f>
        <v>0.29799999999999999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0.40188251600000002</v>
      </c>
      <c r="M24" s="92">
        <f>(1-food_insecure)*(0.49)+food_insecure*(0.7)</f>
        <v>0.57379000000000002</v>
      </c>
      <c r="N24" s="92">
        <f>(1-food_insecure)*(0.49)+food_insecure*(0.7)</f>
        <v>0.57379000000000002</v>
      </c>
      <c r="O24" s="92">
        <f>(1-food_insecure)*(0.49)+food_insecure*(0.7)</f>
        <v>0.57379000000000002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0.172235364</v>
      </c>
      <c r="M25" s="92">
        <f>(1-food_insecure)*(0.21)+food_insecure*(0.3)</f>
        <v>0.24590999999999999</v>
      </c>
      <c r="N25" s="92">
        <f>(1-food_insecure)*(0.21)+food_insecure*(0.3)</f>
        <v>0.24590999999999999</v>
      </c>
      <c r="O25" s="92">
        <f>(1-food_insecure)*(0.21)+food_insecure*(0.3)</f>
        <v>0.24590999999999999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0.12628212</v>
      </c>
      <c r="M26" s="92">
        <f>(1-food_insecure)*(0.3)</f>
        <v>0.18029999999999999</v>
      </c>
      <c r="N26" s="92">
        <f>(1-food_insecure)*(0.3)</f>
        <v>0.18029999999999999</v>
      </c>
      <c r="O26" s="92">
        <f>(1-food_insecure)*(0.3)</f>
        <v>0.18029999999999999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0.29959999999999998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0.1</v>
      </c>
      <c r="F29" s="92">
        <f t="shared" si="0"/>
        <v>0.1</v>
      </c>
      <c r="G29" s="92">
        <f t="shared" si="0"/>
        <v>0.1</v>
      </c>
      <c r="H29" s="92">
        <f t="shared" si="0"/>
        <v>0.1</v>
      </c>
      <c r="I29" s="92">
        <f t="shared" si="0"/>
        <v>0.1</v>
      </c>
      <c r="J29" s="92">
        <f t="shared" si="0"/>
        <v>0.1</v>
      </c>
      <c r="K29" s="92">
        <f t="shared" si="0"/>
        <v>0.1</v>
      </c>
      <c r="L29" s="92">
        <f t="shared" si="0"/>
        <v>0.1</v>
      </c>
      <c r="M29" s="92">
        <f t="shared" si="0"/>
        <v>0.1</v>
      </c>
      <c r="N29" s="92">
        <f t="shared" si="0"/>
        <v>0.1</v>
      </c>
      <c r="O29" s="92">
        <f t="shared" si="0"/>
        <v>0.1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0.8</v>
      </c>
      <c r="F30" s="92">
        <f t="shared" si="1"/>
        <v>0.8</v>
      </c>
      <c r="G30" s="92">
        <f t="shared" si="1"/>
        <v>0.8</v>
      </c>
      <c r="H30" s="92">
        <f t="shared" si="1"/>
        <v>0.8</v>
      </c>
      <c r="I30" s="92">
        <f t="shared" si="1"/>
        <v>0.8</v>
      </c>
      <c r="J30" s="92">
        <f t="shared" si="1"/>
        <v>0.8</v>
      </c>
      <c r="K30" s="92">
        <f t="shared" si="1"/>
        <v>0.8</v>
      </c>
      <c r="L30" s="92">
        <f t="shared" si="1"/>
        <v>0.8</v>
      </c>
      <c r="M30" s="92">
        <f t="shared" si="1"/>
        <v>0.8</v>
      </c>
      <c r="N30" s="92">
        <f t="shared" si="1"/>
        <v>0.8</v>
      </c>
      <c r="O30" s="92">
        <f t="shared" si="1"/>
        <v>0.8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0.1</v>
      </c>
      <c r="F31" s="92">
        <f t="shared" ref="F31:O31" si="2">frac_wheat</f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B2" sqref="B2:B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34584</v>
      </c>
      <c r="C2" s="78">
        <v>62437.649999999994</v>
      </c>
      <c r="D2" s="78">
        <v>102640.5</v>
      </c>
      <c r="E2" s="78">
        <v>82884</v>
      </c>
      <c r="F2" s="78">
        <v>61504.35</v>
      </c>
      <c r="G2" s="22">
        <f t="shared" ref="G2:G40" si="0">C2+D2+E2+F2</f>
        <v>309466.5</v>
      </c>
      <c r="H2" s="22">
        <f t="shared" ref="H2:H40" si="1">(B2 + stillbirth*B2/(1000-stillbirth))/(1-abortion)</f>
        <v>39951.481545659328</v>
      </c>
      <c r="I2" s="22">
        <f>G2-H2</f>
        <v>269515.01845434069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34896</v>
      </c>
      <c r="C3" s="78">
        <v>63463.95</v>
      </c>
      <c r="D3" s="78">
        <v>105348.9</v>
      </c>
      <c r="E3" s="78">
        <v>84380.099999999991</v>
      </c>
      <c r="F3" s="78">
        <v>63432.899999999987</v>
      </c>
      <c r="G3" s="22">
        <f t="shared" si="0"/>
        <v>316625.84999999992</v>
      </c>
      <c r="H3" s="22">
        <f t="shared" si="1"/>
        <v>40311.904349332872</v>
      </c>
      <c r="I3" s="22">
        <f t="shared" ref="I3:I15" si="3">G3-H3</f>
        <v>276313.94565066707</v>
      </c>
    </row>
    <row r="4" spans="1:9" ht="15.75" customHeight="1" x14ac:dyDescent="0.25">
      <c r="A4" s="7">
        <f t="shared" si="2"/>
        <v>2019</v>
      </c>
      <c r="B4" s="77">
        <v>35208</v>
      </c>
      <c r="C4" s="78">
        <v>64445.399999999994</v>
      </c>
      <c r="D4" s="78">
        <v>108133.50000000001</v>
      </c>
      <c r="E4" s="78">
        <v>85858.199999999983</v>
      </c>
      <c r="F4" s="78">
        <v>65396.7</v>
      </c>
      <c r="G4" s="22">
        <f t="shared" si="0"/>
        <v>323833.8</v>
      </c>
      <c r="H4" s="22">
        <f t="shared" si="1"/>
        <v>40672.327153006408</v>
      </c>
      <c r="I4" s="22">
        <f t="shared" si="3"/>
        <v>283161.47284699359</v>
      </c>
    </row>
    <row r="5" spans="1:9" ht="15.75" customHeight="1" x14ac:dyDescent="0.25">
      <c r="A5" s="7">
        <f t="shared" si="2"/>
        <v>2020</v>
      </c>
      <c r="B5" s="77">
        <v>35520</v>
      </c>
      <c r="C5" s="78">
        <v>65431.649999999994</v>
      </c>
      <c r="D5" s="78">
        <v>110920.5</v>
      </c>
      <c r="E5" s="78">
        <v>87359.849999999991</v>
      </c>
      <c r="F5" s="78">
        <v>67380.899999999994</v>
      </c>
      <c r="G5" s="22">
        <f t="shared" si="0"/>
        <v>331092.90000000002</v>
      </c>
      <c r="H5" s="22">
        <f t="shared" si="1"/>
        <v>41032.749956679952</v>
      </c>
      <c r="I5" s="22">
        <f t="shared" si="3"/>
        <v>290060.15004332009</v>
      </c>
    </row>
    <row r="6" spans="1:9" ht="15.75" customHeight="1" x14ac:dyDescent="0.25">
      <c r="A6" s="7">
        <f t="shared" si="2"/>
        <v>2021</v>
      </c>
      <c r="B6" s="77">
        <v>35802</v>
      </c>
      <c r="C6" s="78">
        <v>66400.349999999991</v>
      </c>
      <c r="D6" s="78">
        <v>113687.54999999997</v>
      </c>
      <c r="E6" s="78">
        <v>88854.599999999991</v>
      </c>
      <c r="F6" s="78">
        <v>69299.399999999994</v>
      </c>
      <c r="G6" s="22">
        <f t="shared" si="0"/>
        <v>338241.89999999991</v>
      </c>
      <c r="H6" s="22">
        <f t="shared" si="1"/>
        <v>41358.516721538726</v>
      </c>
      <c r="I6" s="22">
        <f t="shared" si="3"/>
        <v>296883.38327846117</v>
      </c>
    </row>
    <row r="7" spans="1:9" ht="15.75" customHeight="1" x14ac:dyDescent="0.25">
      <c r="A7" s="7">
        <f t="shared" si="2"/>
        <v>2022</v>
      </c>
      <c r="B7" s="77">
        <v>36084</v>
      </c>
      <c r="C7" s="78">
        <v>67371.45</v>
      </c>
      <c r="D7" s="78">
        <v>116463.3</v>
      </c>
      <c r="E7" s="78">
        <v>90374.550000000017</v>
      </c>
      <c r="F7" s="78">
        <v>71254.649999999994</v>
      </c>
      <c r="G7" s="22">
        <f t="shared" si="0"/>
        <v>345463.95000000007</v>
      </c>
      <c r="H7" s="22">
        <f t="shared" si="1"/>
        <v>41684.283486397508</v>
      </c>
      <c r="I7" s="22">
        <f t="shared" si="3"/>
        <v>303779.66651360254</v>
      </c>
    </row>
    <row r="8" spans="1:9" ht="15.75" customHeight="1" x14ac:dyDescent="0.25">
      <c r="A8" s="7">
        <f t="shared" si="2"/>
        <v>2023</v>
      </c>
      <c r="B8" s="77">
        <v>36366</v>
      </c>
      <c r="C8" s="78">
        <v>68314.649999999994</v>
      </c>
      <c r="D8" s="78">
        <v>119193.15</v>
      </c>
      <c r="E8" s="78">
        <v>91985.4</v>
      </c>
      <c r="F8" s="78">
        <v>73202.399999999994</v>
      </c>
      <c r="G8" s="22">
        <f t="shared" si="0"/>
        <v>352695.6</v>
      </c>
      <c r="H8" s="22">
        <f t="shared" si="1"/>
        <v>42010.050251256282</v>
      </c>
      <c r="I8" s="22">
        <f t="shared" si="3"/>
        <v>310685.54974874371</v>
      </c>
    </row>
    <row r="9" spans="1:9" ht="15.75" customHeight="1" x14ac:dyDescent="0.25">
      <c r="A9" s="7">
        <f t="shared" si="2"/>
        <v>2024</v>
      </c>
      <c r="B9" s="77">
        <v>36648</v>
      </c>
      <c r="C9" s="78">
        <v>69180.899999999994</v>
      </c>
      <c r="D9" s="78">
        <v>121805.54999999999</v>
      </c>
      <c r="E9" s="78">
        <v>93784.5</v>
      </c>
      <c r="F9" s="78">
        <v>75080.849999999991</v>
      </c>
      <c r="G9" s="22">
        <f t="shared" si="0"/>
        <v>359851.79999999993</v>
      </c>
      <c r="H9" s="22">
        <f t="shared" si="1"/>
        <v>42335.817016115063</v>
      </c>
      <c r="I9" s="22">
        <f t="shared" si="3"/>
        <v>317515.98298388487</v>
      </c>
    </row>
    <row r="10" spans="1:9" ht="15.75" customHeight="1" x14ac:dyDescent="0.25">
      <c r="A10" s="7">
        <f t="shared" si="2"/>
        <v>2025</v>
      </c>
      <c r="B10" s="77">
        <v>36930</v>
      </c>
      <c r="C10" s="78">
        <v>69945.899999999994</v>
      </c>
      <c r="D10" s="78">
        <v>124256.25</v>
      </c>
      <c r="E10" s="78">
        <v>95829.300000000017</v>
      </c>
      <c r="F10" s="78">
        <v>76854.600000000006</v>
      </c>
      <c r="G10" s="22">
        <f t="shared" si="0"/>
        <v>366886.05000000005</v>
      </c>
      <c r="H10" s="22">
        <f t="shared" si="1"/>
        <v>42661.583780973837</v>
      </c>
      <c r="I10" s="22">
        <f t="shared" si="3"/>
        <v>324224.46621902619</v>
      </c>
    </row>
    <row r="11" spans="1:9" ht="15.75" customHeight="1" x14ac:dyDescent="0.25">
      <c r="A11" s="7">
        <f t="shared" si="2"/>
        <v>2026</v>
      </c>
      <c r="B11" s="77">
        <v>37170</v>
      </c>
      <c r="C11" s="78">
        <v>70639.649999999994</v>
      </c>
      <c r="D11" s="78">
        <v>126562.2</v>
      </c>
      <c r="E11" s="78">
        <v>98113.95</v>
      </c>
      <c r="F11" s="78">
        <v>78471.3</v>
      </c>
      <c r="G11" s="22">
        <f t="shared" si="0"/>
        <v>373787.1</v>
      </c>
      <c r="H11" s="22">
        <f t="shared" si="1"/>
        <v>42938.832091491946</v>
      </c>
      <c r="I11" s="22">
        <f t="shared" si="3"/>
        <v>330848.26790850802</v>
      </c>
    </row>
    <row r="12" spans="1:9" ht="15.75" customHeight="1" x14ac:dyDescent="0.25">
      <c r="A12" s="7">
        <f t="shared" si="2"/>
        <v>2027</v>
      </c>
      <c r="B12" s="77">
        <v>37410</v>
      </c>
      <c r="C12" s="78">
        <v>71248.95</v>
      </c>
      <c r="D12" s="78">
        <v>128696.4</v>
      </c>
      <c r="E12" s="78">
        <v>100646.39999999999</v>
      </c>
      <c r="F12" s="78">
        <v>80016.149999999994</v>
      </c>
      <c r="G12" s="22">
        <f t="shared" si="0"/>
        <v>380607.9</v>
      </c>
      <c r="H12" s="22">
        <f t="shared" si="1"/>
        <v>43216.080402010048</v>
      </c>
      <c r="I12" s="22">
        <f t="shared" si="3"/>
        <v>337391.81959798996</v>
      </c>
    </row>
    <row r="13" spans="1:9" ht="15.75" customHeight="1" x14ac:dyDescent="0.25">
      <c r="A13" s="7">
        <f t="shared" si="2"/>
        <v>2028</v>
      </c>
      <c r="B13" s="77">
        <v>37650</v>
      </c>
      <c r="C13" s="78">
        <v>71809.8</v>
      </c>
      <c r="D13" s="78">
        <v>130671.9</v>
      </c>
      <c r="E13" s="78">
        <v>103355.4</v>
      </c>
      <c r="F13" s="78">
        <v>81511.95</v>
      </c>
      <c r="G13" s="22">
        <f t="shared" si="0"/>
        <v>387349.05</v>
      </c>
      <c r="H13" s="22">
        <f t="shared" si="1"/>
        <v>43493.328712528157</v>
      </c>
      <c r="I13" s="22">
        <f t="shared" si="3"/>
        <v>343855.72128747182</v>
      </c>
    </row>
    <row r="14" spans="1:9" ht="15.75" customHeight="1" x14ac:dyDescent="0.25">
      <c r="A14" s="7">
        <f t="shared" si="2"/>
        <v>2029</v>
      </c>
      <c r="B14" s="77">
        <v>37890</v>
      </c>
      <c r="C14" s="78">
        <v>72382.95</v>
      </c>
      <c r="D14" s="78">
        <v>132525</v>
      </c>
      <c r="E14" s="78">
        <v>106132.5</v>
      </c>
      <c r="F14" s="78">
        <v>83000.10000000002</v>
      </c>
      <c r="G14" s="22">
        <f t="shared" si="0"/>
        <v>394040.55000000005</v>
      </c>
      <c r="H14" s="22">
        <f t="shared" si="1"/>
        <v>43770.577023046266</v>
      </c>
      <c r="I14" s="22">
        <f t="shared" si="3"/>
        <v>350269.97297695378</v>
      </c>
    </row>
    <row r="15" spans="1:9" ht="15.75" customHeight="1" x14ac:dyDescent="0.25">
      <c r="A15" s="7">
        <f t="shared" si="2"/>
        <v>2030</v>
      </c>
      <c r="B15" s="77">
        <v>38130</v>
      </c>
      <c r="C15" s="78">
        <v>73006.8</v>
      </c>
      <c r="D15" s="78">
        <v>134278.94999999998</v>
      </c>
      <c r="E15" s="78">
        <v>108899.40000000001</v>
      </c>
      <c r="F15" s="78">
        <v>84513.3</v>
      </c>
      <c r="G15" s="22">
        <f t="shared" si="0"/>
        <v>400698.45</v>
      </c>
      <c r="H15" s="22">
        <f t="shared" si="1"/>
        <v>44047.825333564375</v>
      </c>
      <c r="I15" s="22">
        <f t="shared" si="3"/>
        <v>356650.62466643564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16:I40 G2:I15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2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2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2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2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2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2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2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2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2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2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2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2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2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2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2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2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2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2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2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2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2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2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2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2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2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2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2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2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2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2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2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2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2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2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2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2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2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2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2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2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2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2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2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2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2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F8" sqref="F8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0.15</v>
      </c>
      <c r="D4" s="141">
        <v>0.15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0.15</v>
      </c>
      <c r="D6" s="141">
        <v>0.15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0.23</v>
      </c>
      <c r="D12" s="141">
        <v>0.23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</v>
      </c>
      <c r="F20" s="141">
        <v>0.9</v>
      </c>
      <c r="G20" s="141">
        <v>0.9</v>
      </c>
      <c r="H20" s="141">
        <v>0.9</v>
      </c>
      <c r="I20" s="141">
        <v>0.9</v>
      </c>
      <c r="J20" s="141">
        <v>0.9</v>
      </c>
      <c r="K20" s="141">
        <v>0.9</v>
      </c>
      <c r="L20" s="141">
        <v>0.9</v>
      </c>
      <c r="M20" s="141">
        <v>0.9</v>
      </c>
      <c r="N20" s="141">
        <v>0.9</v>
      </c>
      <c r="O20" s="14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F8" sqref="F8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0.21</v>
      </c>
      <c r="E3" s="141">
        <v>0.21</v>
      </c>
      <c r="F3" s="141">
        <v>0.21</v>
      </c>
      <c r="G3" s="141">
        <v>0.21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0.14299999999999999</v>
      </c>
      <c r="E5" s="141">
        <v>0.14299999999999999</v>
      </c>
      <c r="F5" s="141">
        <v>0.14299999999999999</v>
      </c>
      <c r="G5" s="141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0.53134328358208949</v>
      </c>
      <c r="G3" s="141">
        <v>0.53134328358208949</v>
      </c>
      <c r="H3" s="141">
        <v>0.53134328358208949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0.38507462686567184</v>
      </c>
      <c r="G4" s="141">
        <v>0.38507462686567184</v>
      </c>
      <c r="H4" s="141">
        <v>0.38507462686567184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0.33500000000000002</v>
      </c>
      <c r="G13" s="141">
        <v>0.33500000000000002</v>
      </c>
      <c r="H13" s="141">
        <v>0.33500000000000002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0.7</v>
      </c>
      <c r="G14" s="141">
        <v>0.62</v>
      </c>
      <c r="H14" s="141">
        <v>0.62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0.33500000000000002</v>
      </c>
      <c r="G15" s="141">
        <v>0.33500000000000002</v>
      </c>
      <c r="H15" s="141">
        <v>0.33500000000000002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0.84</v>
      </c>
      <c r="G16" s="141">
        <v>0.62</v>
      </c>
      <c r="H16" s="141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0.46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0.46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0.46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0.49</v>
      </c>
      <c r="E42" s="141">
        <v>0.49</v>
      </c>
      <c r="F42" s="141">
        <v>0.49</v>
      </c>
      <c r="G42" s="141">
        <v>0.49</v>
      </c>
      <c r="H42" s="141">
        <v>0.49</v>
      </c>
    </row>
    <row r="43" spans="1:8" x14ac:dyDescent="0.25">
      <c r="C43" s="52" t="s">
        <v>270</v>
      </c>
      <c r="D43" s="141">
        <v>0.52</v>
      </c>
      <c r="E43" s="141">
        <v>0.52</v>
      </c>
      <c r="F43" s="141">
        <v>0.52</v>
      </c>
      <c r="G43" s="141">
        <v>0.52</v>
      </c>
      <c r="H43" s="141">
        <v>0.52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0.93</v>
      </c>
      <c r="E45" s="141">
        <v>0.93</v>
      </c>
      <c r="F45" s="141">
        <v>0.93</v>
      </c>
      <c r="G45" s="141">
        <v>0.93</v>
      </c>
      <c r="H45" s="141">
        <v>0.93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0.86</v>
      </c>
      <c r="E47" s="141">
        <v>0.86</v>
      </c>
      <c r="F47" s="141">
        <v>0.86</v>
      </c>
      <c r="G47" s="141">
        <v>0.86</v>
      </c>
      <c r="H47" s="141">
        <v>0.86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0.57999999999999996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0.51</v>
      </c>
      <c r="E49" s="141">
        <v>0.51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F8" sqref="F8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0.6</v>
      </c>
      <c r="E7" s="141">
        <v>0.6</v>
      </c>
      <c r="F7" s="141">
        <v>0.6</v>
      </c>
      <c r="G7" s="141">
        <v>0.6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14" sqref="C14:F22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0.02</v>
      </c>
    </row>
    <row r="4" spans="1:8" ht="15.75" customHeight="1" x14ac:dyDescent="0.25">
      <c r="B4" s="24" t="s">
        <v>7</v>
      </c>
      <c r="C4" s="79">
        <v>0.49580000000000002</v>
      </c>
    </row>
    <row r="5" spans="1:8" ht="15.75" customHeight="1" x14ac:dyDescent="0.25">
      <c r="B5" s="24" t="s">
        <v>8</v>
      </c>
      <c r="C5" s="79">
        <v>6.1100000000000002E-2</v>
      </c>
    </row>
    <row r="6" spans="1:8" ht="15.75" customHeight="1" x14ac:dyDescent="0.25">
      <c r="B6" s="24" t="s">
        <v>10</v>
      </c>
      <c r="C6" s="79">
        <v>0.39700000000000002</v>
      </c>
    </row>
    <row r="7" spans="1:8" ht="15.75" customHeight="1" x14ac:dyDescent="0.25">
      <c r="B7" s="24" t="s">
        <v>13</v>
      </c>
      <c r="C7" s="79">
        <v>0.02</v>
      </c>
    </row>
    <row r="8" spans="1:8" ht="15.75" customHeight="1" x14ac:dyDescent="0.25">
      <c r="B8" s="24" t="s">
        <v>14</v>
      </c>
      <c r="C8" s="79">
        <v>0</v>
      </c>
    </row>
    <row r="9" spans="1:8" ht="15.75" customHeight="1" x14ac:dyDescent="0.25">
      <c r="B9" s="24" t="s">
        <v>27</v>
      </c>
      <c r="C9" s="79">
        <v>0</v>
      </c>
    </row>
    <row r="10" spans="1:8" ht="15.75" customHeight="1" x14ac:dyDescent="0.25">
      <c r="B10" s="24" t="s">
        <v>15</v>
      </c>
      <c r="C10" s="79">
        <v>6.1000000000000004E-3</v>
      </c>
    </row>
    <row r="11" spans="1:8" ht="15.75" customHeight="1" x14ac:dyDescent="0.25">
      <c r="B11" s="32" t="s">
        <v>129</v>
      </c>
      <c r="C11" s="74">
        <f>SUM(C3:C10)</f>
        <v>1.0000000000000002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6.7466266866566718E-2</v>
      </c>
      <c r="D14" s="79">
        <v>6.7466266866566718E-2</v>
      </c>
      <c r="E14" s="79">
        <v>6.7466266866566718E-2</v>
      </c>
      <c r="F14" s="79">
        <v>6.7466266866566718E-2</v>
      </c>
    </row>
    <row r="15" spans="1:8" ht="15.75" customHeight="1" x14ac:dyDescent="0.25">
      <c r="B15" s="24" t="s">
        <v>16</v>
      </c>
      <c r="C15" s="79">
        <v>0.24187906046976512</v>
      </c>
      <c r="D15" s="79">
        <v>0.24187906046976512</v>
      </c>
      <c r="E15" s="79">
        <v>0.24187906046976512</v>
      </c>
      <c r="F15" s="79">
        <v>0.24187906046976512</v>
      </c>
    </row>
    <row r="16" spans="1:8" ht="15.75" customHeight="1" x14ac:dyDescent="0.25">
      <c r="B16" s="24" t="s">
        <v>17</v>
      </c>
      <c r="C16" s="79">
        <v>6.7966016991504244E-2</v>
      </c>
      <c r="D16" s="79">
        <v>6.7966016991504244E-2</v>
      </c>
      <c r="E16" s="79">
        <v>6.7966016991504244E-2</v>
      </c>
      <c r="F16" s="79">
        <v>6.7966016991504244E-2</v>
      </c>
    </row>
    <row r="17" spans="1:8" ht="15.75" customHeight="1" x14ac:dyDescent="0.25">
      <c r="B17" s="24" t="s">
        <v>18</v>
      </c>
      <c r="C17" s="79">
        <v>0</v>
      </c>
      <c r="D17" s="79">
        <v>0</v>
      </c>
      <c r="E17" s="79">
        <v>0</v>
      </c>
      <c r="F17" s="79">
        <v>0</v>
      </c>
    </row>
    <row r="18" spans="1:8" ht="15.75" customHeight="1" x14ac:dyDescent="0.25">
      <c r="B18" s="24" t="s">
        <v>19</v>
      </c>
      <c r="C18" s="79">
        <v>2.2488755622188907E-2</v>
      </c>
      <c r="D18" s="79">
        <v>2.2488755622188907E-2</v>
      </c>
      <c r="E18" s="79">
        <v>2.2488755622188907E-2</v>
      </c>
      <c r="F18" s="79">
        <v>2.2488755622188907E-2</v>
      </c>
    </row>
    <row r="19" spans="1:8" ht="15.75" customHeight="1" x14ac:dyDescent="0.25">
      <c r="B19" s="24" t="s">
        <v>20</v>
      </c>
      <c r="C19" s="79">
        <v>0</v>
      </c>
      <c r="D19" s="79">
        <v>0</v>
      </c>
      <c r="E19" s="79">
        <v>0</v>
      </c>
      <c r="F19" s="79">
        <v>0</v>
      </c>
    </row>
    <row r="20" spans="1:8" ht="15.75" customHeight="1" x14ac:dyDescent="0.25">
      <c r="B20" s="24" t="s">
        <v>21</v>
      </c>
      <c r="C20" s="79">
        <v>4.0479760119940027E-2</v>
      </c>
      <c r="D20" s="79">
        <v>4.0479760119940027E-2</v>
      </c>
      <c r="E20" s="79">
        <v>4.0479760119940027E-2</v>
      </c>
      <c r="F20" s="79">
        <v>4.0479760119940027E-2</v>
      </c>
    </row>
    <row r="21" spans="1:8" ht="15.75" customHeight="1" x14ac:dyDescent="0.25">
      <c r="B21" s="24" t="s">
        <v>22</v>
      </c>
      <c r="C21" s="79">
        <v>8.4957521239380305E-3</v>
      </c>
      <c r="D21" s="79">
        <v>8.4957521239380305E-3</v>
      </c>
      <c r="E21" s="79">
        <v>8.4957521239380305E-3</v>
      </c>
      <c r="F21" s="79">
        <v>8.4957521239380305E-3</v>
      </c>
    </row>
    <row r="22" spans="1:8" ht="15.75" customHeight="1" x14ac:dyDescent="0.25">
      <c r="B22" s="24" t="s">
        <v>23</v>
      </c>
      <c r="C22" s="79">
        <v>0.55122438780609695</v>
      </c>
      <c r="D22" s="79">
        <v>0.55122438780609695</v>
      </c>
      <c r="E22" s="79">
        <v>0.55122438780609695</v>
      </c>
      <c r="F22" s="79">
        <v>0.55122438780609695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4.7899999999999998E-2</v>
      </c>
    </row>
    <row r="27" spans="1:8" ht="15.75" customHeight="1" x14ac:dyDescent="0.25">
      <c r="B27" s="24" t="s">
        <v>39</v>
      </c>
      <c r="C27" s="79">
        <v>1.89E-2</v>
      </c>
    </row>
    <row r="28" spans="1:8" ht="15.75" customHeight="1" x14ac:dyDescent="0.25">
      <c r="B28" s="24" t="s">
        <v>40</v>
      </c>
      <c r="C28" s="79">
        <v>0.22969999999999999</v>
      </c>
    </row>
    <row r="29" spans="1:8" ht="15.75" customHeight="1" x14ac:dyDescent="0.25">
      <c r="B29" s="24" t="s">
        <v>41</v>
      </c>
      <c r="C29" s="79">
        <v>0.13800000000000001</v>
      </c>
    </row>
    <row r="30" spans="1:8" ht="15.75" customHeight="1" x14ac:dyDescent="0.25">
      <c r="B30" s="24" t="s">
        <v>42</v>
      </c>
      <c r="C30" s="79">
        <v>0.05</v>
      </c>
    </row>
    <row r="31" spans="1:8" ht="15.75" customHeight="1" x14ac:dyDescent="0.25">
      <c r="B31" s="24" t="s">
        <v>43</v>
      </c>
      <c r="C31" s="79">
        <v>7.0400000000000004E-2</v>
      </c>
    </row>
    <row r="32" spans="1:8" ht="15.75" customHeight="1" x14ac:dyDescent="0.25">
      <c r="B32" s="24" t="s">
        <v>44</v>
      </c>
      <c r="C32" s="79">
        <v>0.14729999999999999</v>
      </c>
    </row>
    <row r="33" spans="2:3" ht="15.75" customHeight="1" x14ac:dyDescent="0.25">
      <c r="B33" s="24" t="s">
        <v>45</v>
      </c>
      <c r="C33" s="79">
        <v>0.1241</v>
      </c>
    </row>
    <row r="34" spans="2:3" ht="15.75" customHeight="1" x14ac:dyDescent="0.25">
      <c r="B34" s="24" t="s">
        <v>46</v>
      </c>
      <c r="C34" s="79">
        <v>0.1744</v>
      </c>
    </row>
    <row r="35" spans="2:3" ht="15.75" customHeight="1" x14ac:dyDescent="0.25">
      <c r="B35" s="32" t="s">
        <v>129</v>
      </c>
      <c r="C35" s="74">
        <f>SUM(C26:C34)</f>
        <v>1.0006999999999999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M14" sqref="M14:O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0.37478626030093787</v>
      </c>
      <c r="D2" s="80">
        <v>0.37478626030093787</v>
      </c>
      <c r="E2" s="80">
        <v>0.23635593184254577</v>
      </c>
      <c r="F2" s="80">
        <v>0.23635593184254566</v>
      </c>
      <c r="G2" s="80">
        <v>0.21092368408064532</v>
      </c>
    </row>
    <row r="3" spans="1:15" ht="15.75" customHeight="1" x14ac:dyDescent="0.25">
      <c r="A3" s="5"/>
      <c r="B3" s="11" t="s">
        <v>118</v>
      </c>
      <c r="C3" s="80">
        <v>0.37721373969906213</v>
      </c>
      <c r="D3" s="80">
        <v>0.37721373969906213</v>
      </c>
      <c r="E3" s="80">
        <v>0.37464406815745427</v>
      </c>
      <c r="F3" s="80">
        <v>0.37464406815745432</v>
      </c>
      <c r="G3" s="80">
        <v>0.36707631591935469</v>
      </c>
    </row>
    <row r="4" spans="1:15" ht="15.75" customHeight="1" x14ac:dyDescent="0.25">
      <c r="A4" s="5"/>
      <c r="B4" s="11" t="s">
        <v>116</v>
      </c>
      <c r="C4" s="81">
        <v>0.1979072847682119</v>
      </c>
      <c r="D4" s="81">
        <v>0.19725412541254125</v>
      </c>
      <c r="E4" s="81">
        <v>0.31042715231788076</v>
      </c>
      <c r="F4" s="81">
        <v>0.27314043209876543</v>
      </c>
      <c r="G4" s="81">
        <v>0.30047325918025292</v>
      </c>
    </row>
    <row r="5" spans="1:15" ht="15.75" customHeight="1" x14ac:dyDescent="0.25">
      <c r="A5" s="5"/>
      <c r="B5" s="11" t="s">
        <v>119</v>
      </c>
      <c r="C5" s="81">
        <v>5.0092715231788078E-2</v>
      </c>
      <c r="D5" s="81">
        <v>5.0745874587458752E-2</v>
      </c>
      <c r="E5" s="81">
        <v>7.857284768211921E-2</v>
      </c>
      <c r="F5" s="81">
        <v>0.11585956790123456</v>
      </c>
      <c r="G5" s="81">
        <v>0.12152674081974707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0.27750666118555944</v>
      </c>
      <c r="D8" s="80">
        <v>0.27750666118555944</v>
      </c>
      <c r="E8" s="80">
        <v>0.43990372397087851</v>
      </c>
      <c r="F8" s="80">
        <v>0.43990372397087851</v>
      </c>
      <c r="G8" s="80">
        <v>0.49615277765476296</v>
      </c>
    </row>
    <row r="9" spans="1:15" ht="15.75" customHeight="1" x14ac:dyDescent="0.25">
      <c r="B9" s="7" t="s">
        <v>121</v>
      </c>
      <c r="C9" s="80">
        <v>0.38149333881444053</v>
      </c>
      <c r="D9" s="80">
        <v>0.38149333881444053</v>
      </c>
      <c r="E9" s="80">
        <v>0.36209627602912148</v>
      </c>
      <c r="F9" s="80">
        <v>0.36209627602912148</v>
      </c>
      <c r="G9" s="80">
        <v>0.34284722234523707</v>
      </c>
    </row>
    <row r="10" spans="1:15" ht="15.75" customHeight="1" x14ac:dyDescent="0.25">
      <c r="B10" s="7" t="s">
        <v>122</v>
      </c>
      <c r="C10" s="81">
        <v>0.34100000000000003</v>
      </c>
      <c r="D10" s="81">
        <v>0.34100000000000003</v>
      </c>
      <c r="E10" s="81">
        <v>0.19800000000000001</v>
      </c>
      <c r="F10" s="81">
        <v>0.16769387755102041</v>
      </c>
      <c r="G10" s="81">
        <v>0.12339802631578946</v>
      </c>
    </row>
    <row r="11" spans="1:15" ht="15.75" customHeight="1" x14ac:dyDescent="0.25">
      <c r="B11" s="7" t="s">
        <v>123</v>
      </c>
      <c r="C11" s="81">
        <v>0</v>
      </c>
      <c r="D11" s="81">
        <v>0</v>
      </c>
      <c r="E11" s="81">
        <v>0</v>
      </c>
      <c r="F11" s="81">
        <v>3.0306122448979587E-2</v>
      </c>
      <c r="G11" s="81">
        <v>3.7601973684210525E-2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0.498</v>
      </c>
      <c r="D14" s="82">
        <v>0.498</v>
      </c>
      <c r="E14" s="82">
        <v>0.498</v>
      </c>
      <c r="F14" s="82">
        <v>0.498</v>
      </c>
      <c r="G14" s="82">
        <v>0.498</v>
      </c>
      <c r="H14" s="83">
        <v>0.44800000000000001</v>
      </c>
      <c r="I14" s="83">
        <v>0.44800000000000001</v>
      </c>
      <c r="J14" s="83">
        <v>0.44800000000000001</v>
      </c>
      <c r="K14" s="83">
        <v>0.44800000000000001</v>
      </c>
      <c r="L14" s="83">
        <v>0.46300000000000002</v>
      </c>
      <c r="M14" s="83">
        <v>0.46300000000000002</v>
      </c>
      <c r="N14" s="83">
        <v>0.46300000000000002</v>
      </c>
      <c r="O14" s="83">
        <v>0.46300000000000002</v>
      </c>
    </row>
    <row r="15" spans="1:15" ht="15.75" customHeight="1" x14ac:dyDescent="0.25">
      <c r="B15" s="16" t="s">
        <v>68</v>
      </c>
      <c r="C15" s="80">
        <f t="shared" ref="C15:O15" si="0">iron_deficiency_anaemia*C14</f>
        <v>0.11095439999999999</v>
      </c>
      <c r="D15" s="80">
        <f t="shared" si="0"/>
        <v>0.11095439999999999</v>
      </c>
      <c r="E15" s="80">
        <f t="shared" si="0"/>
        <v>0.11095439999999999</v>
      </c>
      <c r="F15" s="80">
        <f t="shared" si="0"/>
        <v>0.11095439999999999</v>
      </c>
      <c r="G15" s="80">
        <f t="shared" si="0"/>
        <v>0.11095439999999999</v>
      </c>
      <c r="H15" s="80">
        <f t="shared" si="0"/>
        <v>9.9814399999999998E-2</v>
      </c>
      <c r="I15" s="80">
        <f t="shared" si="0"/>
        <v>9.9814399999999998E-2</v>
      </c>
      <c r="J15" s="80">
        <f t="shared" si="0"/>
        <v>9.9814399999999998E-2</v>
      </c>
      <c r="K15" s="80">
        <f t="shared" si="0"/>
        <v>9.9814399999999998E-2</v>
      </c>
      <c r="L15" s="80">
        <f t="shared" si="0"/>
        <v>0.10315640000000001</v>
      </c>
      <c r="M15" s="80">
        <f t="shared" si="0"/>
        <v>0.10315640000000001</v>
      </c>
      <c r="N15" s="80">
        <f t="shared" si="0"/>
        <v>0.10315640000000001</v>
      </c>
      <c r="O15" s="80">
        <f t="shared" si="0"/>
        <v>0.10315640000000001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C2" sqref="C2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0.90395454545454557</v>
      </c>
      <c r="D2" s="81">
        <v>0.5267404306220097</v>
      </c>
      <c r="E2" s="81">
        <v>0.14899999999999999</v>
      </c>
      <c r="F2" s="81">
        <v>6.3E-2</v>
      </c>
      <c r="G2" s="81">
        <v>1.7999999999999999E-2</v>
      </c>
    </row>
    <row r="3" spans="1:7" x14ac:dyDescent="0.25">
      <c r="B3" s="43" t="s">
        <v>167</v>
      </c>
      <c r="C3" s="81">
        <v>1.188681368136813E-2</v>
      </c>
      <c r="D3" s="81">
        <v>3.6268490363546929E-2</v>
      </c>
      <c r="E3" s="81">
        <v>4.1000000000000002E-2</v>
      </c>
      <c r="F3" s="81">
        <v>3.4000000000000002E-2</v>
      </c>
      <c r="G3" s="81">
        <v>8.9999999999999993E-3</v>
      </c>
    </row>
    <row r="4" spans="1:7" x14ac:dyDescent="0.25">
      <c r="B4" s="43" t="s">
        <v>168</v>
      </c>
      <c r="C4" s="81">
        <v>6.9418991899189875E-2</v>
      </c>
      <c r="D4" s="81">
        <v>0.40072258865089655</v>
      </c>
      <c r="E4" s="81">
        <v>0.70535799782372144</v>
      </c>
      <c r="F4" s="81">
        <v>0.70486690400382845</v>
      </c>
      <c r="G4" s="81">
        <v>0.40899999999999997</v>
      </c>
    </row>
    <row r="5" spans="1:7" x14ac:dyDescent="0.25">
      <c r="B5" s="43" t="s">
        <v>169</v>
      </c>
      <c r="C5" s="80">
        <v>1.473964896489644E-2</v>
      </c>
      <c r="D5" s="80">
        <v>3.626849036354686E-2</v>
      </c>
      <c r="E5" s="80">
        <v>0.10464200217627861</v>
      </c>
      <c r="F5" s="80">
        <v>0.19813309599617157</v>
      </c>
      <c r="G5" s="80">
        <v>0.56400000000000006</v>
      </c>
    </row>
  </sheetData>
  <sheetProtection algorithmName="SHA-512" hashValue="w6EkKCHAotUfMIZdb6P1tTBdonY812utudiyJrPoH0H73YASjFvVszAzXx8nKYc2VkB5N+8Y9XWzBsP79TVFjg==" saltValue="2w8I+NrBcYYxqLtH79/nbQ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P14"/>
  <sheetViews>
    <sheetView tabSelected="1" topLeftCell="C1" zoomScale="115" zoomScaleNormal="115" workbookViewId="0">
      <selection activeCell="P6" sqref="P6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0.3947</v>
      </c>
      <c r="D2" s="28"/>
      <c r="E2" s="28"/>
      <c r="F2" s="28"/>
      <c r="G2" s="28"/>
      <c r="H2" s="28"/>
      <c r="I2" s="28">
        <v>0.38</v>
      </c>
      <c r="J2" s="28"/>
      <c r="K2" s="28"/>
      <c r="L2" s="28"/>
      <c r="M2" s="28"/>
      <c r="N2" s="28"/>
      <c r="O2" s="28"/>
      <c r="P2" s="28">
        <v>0.372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0.19009999999999999</v>
      </c>
      <c r="D4" s="28"/>
      <c r="E4" s="28"/>
      <c r="F4" s="28"/>
      <c r="G4" s="28"/>
      <c r="H4" s="28"/>
      <c r="I4" s="28"/>
      <c r="J4" s="28"/>
      <c r="K4" s="28">
        <v>0.18099999999999999</v>
      </c>
      <c r="L4" s="28"/>
      <c r="M4" s="28"/>
      <c r="N4" s="28"/>
      <c r="O4" s="28"/>
      <c r="P4" s="28">
        <v>0.17599999999999999</v>
      </c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distribution'!G15*(24/60)</f>
        <v>8.8763519999999999E-2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8.3000000000000004E-2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9.9814399999999998E-2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7.3999999999999996E-2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0.10315640000000001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7.3999999999999996E-2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0.58960944976076568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0.62</v>
      </c>
    </row>
    <row r="11" spans="1:16" x14ac:dyDescent="0.25">
      <c r="B11" s="34" t="s">
        <v>146</v>
      </c>
      <c r="C11" s="28">
        <f>(('Breastfeeding distribution'!E4)*(6/18)+('Breastfeeding distribution'!F4)*(12/18))</f>
        <v>0.70503060194379275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0.74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5.4231666666666671E-2</v>
      </c>
      <c r="D13" s="28"/>
      <c r="E13" s="28"/>
      <c r="F13" s="28"/>
      <c r="G13" s="28"/>
      <c r="H13" s="28"/>
      <c r="I13" s="28"/>
      <c r="J13" s="28"/>
      <c r="K13" s="28">
        <v>5.1999999999999998E-2</v>
      </c>
      <c r="L13" s="28"/>
      <c r="M13" s="28"/>
      <c r="N13" s="28"/>
      <c r="O13" s="28"/>
      <c r="P13" s="28">
        <v>0.05</v>
      </c>
    </row>
    <row r="14" spans="1:16" x14ac:dyDescent="0.25">
      <c r="B14" s="16" t="s">
        <v>170</v>
      </c>
      <c r="C14" s="28">
        <f>maternal_mortality/1000</f>
        <v>5.0000000000000001E-3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3.0000000000000001E-3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E2" sqref="E2:E38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28.02</v>
      </c>
      <c r="E2" s="86" t="s">
        <v>203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10.27</v>
      </c>
      <c r="E3" s="86" t="s">
        <v>203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63.27</v>
      </c>
      <c r="E4" s="86" t="s">
        <v>203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</v>
      </c>
      <c r="E5" s="86" t="s">
        <v>203</v>
      </c>
    </row>
    <row r="6" spans="1:5" ht="15.75" customHeight="1" x14ac:dyDescent="0.25">
      <c r="A6" s="52" t="s">
        <v>198</v>
      </c>
      <c r="B6" s="85">
        <v>0.38700000000000001</v>
      </c>
      <c r="C6" s="85">
        <v>0.95</v>
      </c>
      <c r="D6" s="86">
        <v>1</v>
      </c>
      <c r="E6" s="86" t="s">
        <v>203</v>
      </c>
    </row>
    <row r="7" spans="1:5" ht="15.75" customHeight="1" x14ac:dyDescent="0.25">
      <c r="A7" s="52" t="s">
        <v>63</v>
      </c>
      <c r="B7" s="85">
        <v>0</v>
      </c>
      <c r="C7" s="85">
        <v>0.95</v>
      </c>
      <c r="D7" s="86">
        <v>0.16</v>
      </c>
      <c r="E7" s="86" t="s">
        <v>203</v>
      </c>
    </row>
    <row r="8" spans="1:5" ht="15.75" customHeight="1" x14ac:dyDescent="0.25">
      <c r="A8" s="52" t="s">
        <v>64</v>
      </c>
      <c r="B8" s="85">
        <v>0</v>
      </c>
      <c r="C8" s="85">
        <v>0.95</v>
      </c>
      <c r="D8" s="86">
        <v>1.47</v>
      </c>
      <c r="E8" s="86" t="s">
        <v>203</v>
      </c>
    </row>
    <row r="9" spans="1:5" ht="15.75" customHeight="1" x14ac:dyDescent="0.25">
      <c r="A9" s="52" t="s">
        <v>62</v>
      </c>
      <c r="B9" s="85">
        <v>0</v>
      </c>
      <c r="C9" s="85">
        <v>0.95</v>
      </c>
      <c r="D9" s="86">
        <v>0.21</v>
      </c>
      <c r="E9" s="86" t="s">
        <v>203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0.28999999999999998</v>
      </c>
      <c r="E10" s="86" t="s">
        <v>203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2.15</v>
      </c>
      <c r="E11" s="86" t="s">
        <v>203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0.25</v>
      </c>
      <c r="E12" s="86" t="s">
        <v>203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0.65</v>
      </c>
      <c r="E13" s="86" t="s">
        <v>203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0.73</v>
      </c>
      <c r="E14" s="86" t="s">
        <v>203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1.78</v>
      </c>
      <c r="E15" s="86" t="s">
        <v>203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2.27</v>
      </c>
      <c r="E16" s="86" t="s">
        <v>203</v>
      </c>
    </row>
    <row r="17" spans="1:5" ht="15.75" customHeight="1" x14ac:dyDescent="0.25">
      <c r="A17" s="52" t="s">
        <v>47</v>
      </c>
      <c r="B17" s="85">
        <v>0</v>
      </c>
      <c r="C17" s="85">
        <v>0.95</v>
      </c>
      <c r="D17" s="86">
        <v>0.25</v>
      </c>
      <c r="E17" s="86" t="s">
        <v>203</v>
      </c>
    </row>
    <row r="18" spans="1:5" ht="16" customHeight="1" x14ac:dyDescent="0.25">
      <c r="A18" s="52" t="s">
        <v>173</v>
      </c>
      <c r="B18" s="85">
        <v>0.57099999999999995</v>
      </c>
      <c r="C18" s="85">
        <v>0.95</v>
      </c>
      <c r="D18" s="87">
        <v>5.66</v>
      </c>
      <c r="E18" s="86" t="s">
        <v>203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5.66</v>
      </c>
      <c r="E19" s="86" t="s">
        <v>203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5.66</v>
      </c>
      <c r="E20" s="86" t="s">
        <v>203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8.84</v>
      </c>
      <c r="E21" s="86" t="s">
        <v>203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50</v>
      </c>
      <c r="E22" s="86" t="s">
        <v>203</v>
      </c>
    </row>
    <row r="23" spans="1:5" ht="15.75" customHeight="1" x14ac:dyDescent="0.25">
      <c r="A23" s="52" t="s">
        <v>34</v>
      </c>
      <c r="B23" s="85">
        <v>0.59499999999999997</v>
      </c>
      <c r="C23" s="85">
        <v>0.95</v>
      </c>
      <c r="D23" s="86">
        <v>2.61</v>
      </c>
      <c r="E23" s="86" t="s">
        <v>203</v>
      </c>
    </row>
    <row r="24" spans="1:5" ht="15.75" customHeight="1" x14ac:dyDescent="0.25">
      <c r="A24" s="52" t="s">
        <v>88</v>
      </c>
      <c r="B24" s="85">
        <v>0.38900000000000001</v>
      </c>
      <c r="C24" s="85">
        <v>0.95</v>
      </c>
      <c r="D24" s="86">
        <v>1</v>
      </c>
      <c r="E24" s="86" t="s">
        <v>203</v>
      </c>
    </row>
    <row r="25" spans="1:5" ht="15.75" customHeight="1" x14ac:dyDescent="0.25">
      <c r="A25" s="52" t="s">
        <v>87</v>
      </c>
      <c r="B25" s="85">
        <v>6.0000000000000001E-3</v>
      </c>
      <c r="C25" s="85">
        <v>0.95</v>
      </c>
      <c r="D25" s="86">
        <v>1</v>
      </c>
      <c r="E25" s="86" t="s">
        <v>203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1</v>
      </c>
      <c r="E26" s="86" t="s">
        <v>203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2.99</v>
      </c>
      <c r="E27" s="86" t="s">
        <v>203</v>
      </c>
    </row>
    <row r="28" spans="1:5" ht="15.75" customHeight="1" x14ac:dyDescent="0.25">
      <c r="A28" s="52" t="s">
        <v>84</v>
      </c>
      <c r="B28" s="85">
        <v>0.08</v>
      </c>
      <c r="C28" s="85">
        <v>0.95</v>
      </c>
      <c r="D28" s="86">
        <v>2.2000000000000002</v>
      </c>
      <c r="E28" s="86" t="s">
        <v>203</v>
      </c>
    </row>
    <row r="29" spans="1:5" ht="15.75" customHeight="1" x14ac:dyDescent="0.25">
      <c r="A29" s="52" t="s">
        <v>58</v>
      </c>
      <c r="B29" s="85">
        <v>0.57099999999999995</v>
      </c>
      <c r="C29" s="85">
        <v>0.95</v>
      </c>
      <c r="D29" s="86">
        <v>56.03</v>
      </c>
      <c r="E29" s="86" t="s">
        <v>203</v>
      </c>
    </row>
    <row r="30" spans="1:5" ht="15.75" customHeight="1" x14ac:dyDescent="0.25">
      <c r="A30" s="52" t="s">
        <v>67</v>
      </c>
      <c r="B30" s="85">
        <v>1.7000000000000001E-2</v>
      </c>
      <c r="C30" s="85">
        <v>0.95</v>
      </c>
      <c r="D30" s="86">
        <v>16.9256724</v>
      </c>
      <c r="E30" s="86" t="s">
        <v>203</v>
      </c>
    </row>
    <row r="31" spans="1:5" ht="15.75" customHeight="1" x14ac:dyDescent="0.25">
      <c r="A31" s="52" t="s">
        <v>28</v>
      </c>
      <c r="B31" s="85">
        <v>0.15</v>
      </c>
      <c r="C31" s="85">
        <v>0.95</v>
      </c>
      <c r="D31" s="86">
        <v>2.4900000000000002</v>
      </c>
      <c r="E31" s="86" t="s">
        <v>203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203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203</v>
      </c>
    </row>
    <row r="34" spans="1:6" ht="15.75" customHeight="1" x14ac:dyDescent="0.25">
      <c r="A34" s="52" t="s">
        <v>81</v>
      </c>
      <c r="B34" s="85">
        <v>0.189</v>
      </c>
      <c r="C34" s="85">
        <v>0.95</v>
      </c>
      <c r="D34" s="86">
        <v>50.26</v>
      </c>
      <c r="E34" s="86" t="s">
        <v>203</v>
      </c>
    </row>
    <row r="35" spans="1:6" ht="15.75" customHeight="1" x14ac:dyDescent="0.25">
      <c r="A35" s="52" t="s">
        <v>79</v>
      </c>
      <c r="B35" s="85">
        <v>0.4</v>
      </c>
      <c r="C35" s="85">
        <v>0.95</v>
      </c>
      <c r="D35" s="86">
        <v>36.1</v>
      </c>
      <c r="E35" s="86" t="s">
        <v>203</v>
      </c>
    </row>
    <row r="36" spans="1:6" s="36" customFormat="1" ht="15.75" customHeight="1" x14ac:dyDescent="0.25">
      <c r="A36" s="52" t="s">
        <v>80</v>
      </c>
      <c r="B36" s="85">
        <v>0</v>
      </c>
      <c r="C36" s="85">
        <v>0.95</v>
      </c>
      <c r="D36" s="86">
        <v>231.85</v>
      </c>
      <c r="E36" s="86" t="s">
        <v>203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3.3</v>
      </c>
      <c r="E37" s="86" t="s">
        <v>203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5.92</v>
      </c>
      <c r="E38" s="86" t="s">
        <v>203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Dominic Delport</cp:lastModifiedBy>
  <dcterms:created xsi:type="dcterms:W3CDTF">2017-08-01T10:42:13Z</dcterms:created>
  <dcterms:modified xsi:type="dcterms:W3CDTF">2019-05-01T02:10:12Z</dcterms:modified>
</cp:coreProperties>
</file>