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InkAnnotation="0" autoCompressPictures="0"/>
  <bookViews>
    <workbookView xWindow="-11520" yWindow="-14480" windowWidth="20730" windowHeight="11760" tabRatio="961" activeTab="5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45621"/>
</workbook>
</file>

<file path=xl/calcChain.xml><?xml version="1.0" encoding="utf-8"?>
<calcChain xmlns="http://schemas.openxmlformats.org/spreadsheetml/2006/main">
  <c r="C6" i="51" l="1"/>
  <c r="C13" i="51" l="1"/>
  <c r="C14" i="51"/>
  <c r="C11" i="51" l="1"/>
  <c r="C10" i="51"/>
  <c r="C8" i="51"/>
  <c r="C7" i="51"/>
  <c r="C4" i="51"/>
  <c r="C2" i="51"/>
  <c r="C58" i="1" l="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A26" i="2"/>
  <c r="A18" i="2"/>
  <c r="A16" i="2"/>
  <c r="A38" i="2"/>
  <c r="A30" i="2"/>
  <c r="A2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/>
  <c r="G26" i="2"/>
  <c r="H26" i="2"/>
  <c r="G27" i="2"/>
  <c r="H27" i="2"/>
  <c r="G28" i="2"/>
  <c r="H28" i="2"/>
  <c r="G29" i="2"/>
  <c r="H29" i="2"/>
  <c r="G30" i="2"/>
  <c r="H30" i="2"/>
  <c r="G31" i="2"/>
  <c r="H31" i="2"/>
  <c r="I31" i="2"/>
  <c r="G32" i="2"/>
  <c r="H32" i="2"/>
  <c r="G33" i="2"/>
  <c r="H33" i="2"/>
  <c r="I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C48" i="1"/>
  <c r="H3" i="2"/>
  <c r="H4" i="2"/>
  <c r="H5" i="2"/>
  <c r="H6" i="2"/>
  <c r="I6" i="2" s="1"/>
  <c r="H7" i="2"/>
  <c r="H8" i="2"/>
  <c r="H9" i="2"/>
  <c r="H10" i="2"/>
  <c r="I10" i="2" s="1"/>
  <c r="H11" i="2"/>
  <c r="H12" i="2"/>
  <c r="H13" i="2"/>
  <c r="H14" i="2"/>
  <c r="I14" i="2" s="1"/>
  <c r="H15" i="2"/>
  <c r="C20" i="1"/>
  <c r="G3" i="2"/>
  <c r="I3" i="2"/>
  <c r="G4" i="2"/>
  <c r="I4" i="2"/>
  <c r="G5" i="2"/>
  <c r="G6" i="2"/>
  <c r="G7" i="2"/>
  <c r="I7" i="2" s="1"/>
  <c r="G8" i="2"/>
  <c r="I8" i="2"/>
  <c r="G9" i="2"/>
  <c r="G10" i="2"/>
  <c r="G11" i="2"/>
  <c r="I11" i="2" s="1"/>
  <c r="G12" i="2"/>
  <c r="I12" i="2"/>
  <c r="G13" i="2"/>
  <c r="I13" i="2" s="1"/>
  <c r="G14" i="2"/>
  <c r="G15" i="2"/>
  <c r="G2" i="2"/>
  <c r="I5" i="2"/>
  <c r="I15" i="2"/>
  <c r="I9" i="2" l="1"/>
</calcChain>
</file>

<file path=xl/comments1.xml><?xml version="1.0" encoding="utf-8"?>
<comments xmlns="http://schemas.openxmlformats.org/spreadsheetml/2006/main">
  <authors>
    <author>Optima team</author>
    <author>Nick Scott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WPP Annual population both sexes
and 2011 Census
</t>
        </r>
        <r>
          <rPr>
            <b/>
            <sz val="9"/>
            <color indexed="81"/>
            <rFont val="Tahoma"/>
            <family val="2"/>
          </rPr>
          <t>Value</t>
        </r>
        <r>
          <rPr>
            <sz val="9"/>
            <color indexed="81"/>
            <rFont val="Tahoma"/>
            <family val="2"/>
          </rPr>
          <t>: 0-4 population 2017 (thousands)
1,042,546 
26% of total population lives in Momase
=0.26*1,042,546 
=271,062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 xml:space="preserve">Missing data FAO /WB
Source: </t>
        </r>
        <r>
          <rPr>
            <sz val="9"/>
            <color indexed="81"/>
            <rFont val="Tahoma"/>
            <family val="2"/>
          </rPr>
          <t>Asia Development Bank Country Partnership Strategy PNG 2016-2020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https://www.adb.org/sites/default/files/institutional-document/157927/cps-png-2016-2020.pdf ["Country at a glance" page 5]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 Population below poverty line (%) 39.9 [2009]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MIS 2016-2017
page 2/3 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"Malaria has been endemic throughout PNG[…] Below 1600 m altitude, 7.1% of the population was infected with malaria parasites, in
highland areas at 1600 m and above, only 0.9%"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 xml:space="preserve">Source: UNESCO institute 
</t>
        </r>
        <r>
          <rPr>
            <sz val="9"/>
            <color indexed="81"/>
            <rFont val="Tahoma"/>
            <family val="2"/>
          </rPr>
          <t xml:space="preserve">http://uis.unesco.org/country/PG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Participation in Education - Secondary education by sex</t>
        </r>
        <r>
          <rPr>
            <b/>
            <sz val="9"/>
            <color indexed="81"/>
            <rFont val="Tahoma"/>
            <family val="2"/>
          </rPr>
          <t xml:space="preserve">
Net enrolment rate (%) female: </t>
        </r>
        <r>
          <rPr>
            <sz val="9"/>
            <color indexed="81"/>
            <rFont val="Tahoma"/>
            <family val="2"/>
          </rPr>
          <t>29.96%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National Health Information System found in SPAR 2016
</t>
        </r>
        <r>
          <rPr>
            <b/>
            <sz val="9"/>
            <color indexed="81"/>
            <rFont val="Tahoma"/>
            <family val="2"/>
          </rPr>
          <t>Value</t>
        </r>
        <r>
          <rPr>
            <sz val="9"/>
            <color indexed="81"/>
            <rFont val="Tahoma"/>
            <family val="2"/>
          </rPr>
          <t>: At least one visit to antenatal care (%) 2016
Momase: 52%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PNG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MIS 2016-2017 
page 44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Children under age 5 with fever seeking care in health facilities (44.5%)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 page 89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Unmet need for family planning among currently married women 29.8%
FYI: Unmet need for men is 22% (pg 90)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  <comment ref="C23" authorId="1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24" authorId="1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25" authorId="1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26" authorId="1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29" authorId="1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30" authorId="1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31" authorId="1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32" authorId="1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C37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WHO GHO PNG 
http://apps.who.int/gho/data/node.country.country-PNG?lang=en 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neonatal mortality rate per 1000 live births = 24.7
</t>
        </r>
      </text>
    </comment>
    <comment ref="C38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WHO GHO PNG 
http://apps.who.int/gho/data/node.country.country-PNG?lang=en 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infant mortality rate per 1000 live births = 44.4
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WHO GHO PNG 
http://apps.who.int/gho/data/node.country.country-PNG?lang=en 
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under five mortality rate per 1000 live births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57.1
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Mola G, Kirby B. Discrepancies between national maternal mortality data and international estimates: the experience of Papua New Guinea. Reproductive Health Matters. 2013;21(42):191-202.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In 2015 MMR per 100,000 live births = 500
Maternal mortality per 1000 live births = (500/100) 
= 5
</t>
        </r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>Ranges from 238 (WHO estimates) to 755 (official Government figure from DHS 2006) per 100,000 births</t>
        </r>
      </text>
    </comment>
    <comment ref="C41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LiST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Percent of pregnancies ending in spontaneous abortion (13%)</t>
        </r>
      </text>
    </comment>
    <comment ref="C42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WHO GHO 
http://apps.who.int/gho/data/node.country.country-PNG?lang=en
</t>
        </r>
        <r>
          <rPr>
            <b/>
            <sz val="9"/>
            <color indexed="81"/>
            <rFont val="Tahoma"/>
            <family val="2"/>
          </rPr>
          <t xml:space="preserve">
Value</t>
        </r>
        <r>
          <rPr>
            <sz val="9"/>
            <color indexed="81"/>
            <rFont val="Tahoma"/>
            <family val="2"/>
          </rPr>
          <t>: Number of neonatal deaths (thousands): 5 in 2015</t>
        </r>
      </text>
    </comment>
    <comment ref="C51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Incidence of diarrhea number of cases per child-year (same value is listed for each age group)</t>
        </r>
        <r>
          <rPr>
            <b/>
            <sz val="9"/>
            <color indexed="81"/>
            <rFont val="Tahoma"/>
            <family val="2"/>
          </rPr>
          <t xml:space="preserve">
Alternative Source: </t>
        </r>
        <r>
          <rPr>
            <sz val="9"/>
            <color indexed="81"/>
            <rFont val="Tahoma"/>
            <family val="2"/>
          </rPr>
          <t>PNG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DHS 2006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Table 8.10 presented as percentage of diarrhoea prevalence in the past two weeks or past 24 hours
</t>
        </r>
      </text>
    </comment>
    <comment ref="C52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Incidence of diarrhea number of cases per child-year (same value is listed for each age group)</t>
        </r>
        <r>
          <rPr>
            <b/>
            <sz val="9"/>
            <color indexed="81"/>
            <rFont val="Tahoma"/>
            <family val="2"/>
          </rPr>
          <t xml:space="preserve">
Alternative Source: </t>
        </r>
        <r>
          <rPr>
            <sz val="9"/>
            <color indexed="81"/>
            <rFont val="Tahoma"/>
            <family val="2"/>
          </rPr>
          <t>PNG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DHS 2006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Table 8.10 presented as percentage of diarrhoea prevalence in the past two weeks or past 24 hours
</t>
        </r>
      </text>
    </comment>
    <comment ref="C53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Incidence of diarrhea number of cases per child-year (same value is listed for each age group)</t>
        </r>
        <r>
          <rPr>
            <b/>
            <sz val="9"/>
            <color indexed="81"/>
            <rFont val="Tahoma"/>
            <family val="2"/>
          </rPr>
          <t xml:space="preserve">
Alternative Source: </t>
        </r>
        <r>
          <rPr>
            <sz val="9"/>
            <color indexed="81"/>
            <rFont val="Tahoma"/>
            <family val="2"/>
          </rPr>
          <t>PNG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DHS 2006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Table 8.10 presented as percentage of diarrhoea prevalence in the past two weeks or past 24 hours
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Incidence of diarrhea number of cases per child-year (same value is listed for each age group)</t>
        </r>
        <r>
          <rPr>
            <b/>
            <sz val="9"/>
            <color indexed="81"/>
            <rFont val="Tahoma"/>
            <family val="2"/>
          </rPr>
          <t xml:space="preserve">
Alternative Source: </t>
        </r>
        <r>
          <rPr>
            <sz val="9"/>
            <color indexed="81"/>
            <rFont val="Tahoma"/>
            <family val="2"/>
          </rPr>
          <t>PNG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DHS 2006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Table 8.10 presented as percentage of diarrhoea prevalence in the past two weeks or past 24 hours
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Incidence of diarrhea number of cases per child-year (same value is listed for each age group)</t>
        </r>
        <r>
          <rPr>
            <b/>
            <sz val="9"/>
            <color indexed="81"/>
            <rFont val="Tahoma"/>
            <family val="2"/>
          </rPr>
          <t xml:space="preserve">
Alternative Source: </t>
        </r>
        <r>
          <rPr>
            <sz val="9"/>
            <color indexed="81"/>
            <rFont val="Tahoma"/>
            <family val="2"/>
          </rPr>
          <t>PNG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DHS 2006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Table 8.10 presented as percentage of diarrhoea prevalence in the past two weeks or past 24 hours
</t>
        </r>
      </text>
    </comment>
    <comment ref="C58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SPAR 2016 (NHIS data)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Incidence of diarrhoeal disease in children &lt; 5 years (185 cases per 1000 children)</t>
        </r>
      </text>
    </comment>
    <comment ref="C59" authorId="0">
      <text>
        <r>
          <rPr>
            <b/>
            <sz val="9"/>
            <color indexed="81"/>
            <rFont val="Tahoma"/>
            <family val="2"/>
          </rPr>
          <t>Source</t>
        </r>
        <r>
          <rPr>
            <sz val="9"/>
            <color indexed="81"/>
            <rFont val="Tahoma"/>
            <family val="2"/>
          </rPr>
          <t xml:space="preserve">: National nutrition survey 2005
</t>
        </r>
        <r>
          <rPr>
            <b/>
            <sz val="9"/>
            <color indexed="81"/>
            <rFont val="Tahoma"/>
            <family val="2"/>
          </rPr>
          <t xml:space="preserve">Value: 
</t>
        </r>
        <r>
          <rPr>
            <sz val="9"/>
            <color indexed="81"/>
            <rFont val="Tahoma"/>
            <family val="2"/>
          </rPr>
          <t>Children 6-59 months 
National 22.8% (N=868)
Southern 35.6% (N=194)
Highlands 7.7% (N=195)
Mamose 31.4% (N=236)
Islands 21.8 % (N=243)Non-pregnant 15-49
Women of reproductive age
National 15% (N=742)
Southern 44.2% (N=242)
Highlands 2.3% (N=171)
Mamose 22.6% (N=168)
Islands 23.0% (N=161)
Weighted average = ((868*22.8)+(742*0.15))/(868+742)
= 19.21%</t>
        </r>
      </text>
    </comment>
  </commentList>
</comments>
</file>

<file path=xl/comments10.xml><?xml version="1.0" encoding="utf-8"?>
<comments xmlns="http://schemas.openxmlformats.org/spreadsheetml/2006/main">
  <authors>
    <author>Nick Scott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>
  <authors>
    <author>Optima team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>
  <authors>
    <author>Optima team</author>
    <author>Debra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Annual Child Morbidity and Mortality Report 2017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Hospital deaths for 22 regions 
NB Used same values for all age groups </t>
        </r>
      </text>
    </comment>
    <comment ref="C4" authorId="1">
      <text>
        <r>
          <rPr>
            <b/>
            <sz val="9"/>
            <color indexed="81"/>
            <rFont val="Tahoma"/>
            <charset val="1"/>
          </rPr>
          <t xml:space="preserve">Source: </t>
        </r>
        <r>
          <rPr>
            <sz val="9"/>
            <color indexed="81"/>
            <rFont val="Tahoma"/>
            <family val="2"/>
          </rPr>
          <t>Annual Child Morbidity and Mortality Report 2017</t>
        </r>
        <r>
          <rPr>
            <b/>
            <sz val="9"/>
            <color indexed="81"/>
            <rFont val="Tahoma"/>
            <charset val="1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298 neonatal infections deaths of 601 neonatal deaths reported – page 36) </t>
        </r>
      </text>
    </comment>
    <comment ref="C6" authorId="1">
      <text>
        <r>
          <rPr>
            <b/>
            <sz val="9"/>
            <color indexed="81"/>
            <rFont val="Tahoma"/>
            <charset val="1"/>
          </rPr>
          <t xml:space="preserve">Source: </t>
        </r>
        <r>
          <rPr>
            <sz val="9"/>
            <color indexed="81"/>
            <rFont val="Tahoma"/>
            <family val="2"/>
          </rPr>
          <t>Annual Child Morbidity and Mortality Report 2017</t>
        </r>
        <r>
          <rPr>
            <b/>
            <sz val="9"/>
            <color indexed="81"/>
            <rFont val="Tahoma"/>
            <charset val="1"/>
          </rPr>
          <t xml:space="preserve">
Value: </t>
        </r>
        <r>
          <rPr>
            <sz val="9"/>
            <color indexed="81"/>
            <rFont val="Tahoma"/>
            <family val="2"/>
          </rPr>
          <t>(239 asphyxia deaths out of 601 neonatal deaths reported - page 38)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Annual Child Morbidity and Mortality Report 2017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Hospital deaths for 22 regions 
NB Used same values for all age groups </t>
        </r>
      </text>
    </comment>
  </commentList>
</comments>
</file>

<file path=xl/comments4.xml><?xml version="1.0" encoding="utf-8"?>
<comments xmlns="http://schemas.openxmlformats.org/spreadsheetml/2006/main">
  <authors>
    <author>Optima team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stunting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33.1%
Children are classified as stunted if Z scores of height for age are less than 2 SD below the median of the WHO Child Growth Standards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stunting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33.1%
Children are classified as stunted if Z scores of height for age are less than 2 SD below the median of the WHO Child Growth Standards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stunting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42.7%
Children are classified as stunted if Z scores of height for age are less than 2 SD below the median of the WHO Child Growth Standards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stunting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42.7%
Children are classified as stunted if Z scores of height for age are less than 2 SD below the median of the WHO Child Growth Standards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stunting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53.4%
Children are classified as stunted if Z scores of height for age are less than 2 SD below the median of the WHO Child Growth Standards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wasting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15.7%
Children are classified as stunted if Z scores of height for age are less than 2 SD below the median of the WHO Child Growth Standards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wasting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15.7%
Children are classified as stunted if Z scores of height for age are less than 2 SD below the median of the WHO Child Growth Standards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wasting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36.2%
Children are classified as stunted if Z scores of height for age are less than 2 SD below the median of the WHO Child Growth Standards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wasting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36.2%
Children are classified as stunted if Z scores of height for age are less than 2 SD below the median of the WHO Child Growth Standards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LiST wasting distributions</t>
        </r>
        <r>
          <rPr>
            <b/>
            <sz val="9"/>
            <color indexed="81"/>
            <rFont val="Tahoma"/>
            <family val="2"/>
          </rPr>
          <t xml:space="preserve">
Alternative source:</t>
        </r>
        <r>
          <rPr>
            <sz val="9"/>
            <color indexed="81"/>
            <rFont val="Tahoma"/>
            <family val="2"/>
          </rPr>
          <t xml:space="preserve"> HIES 2009-2010
page 90 Table 5.14/5.15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48.2%
Children are classified as stunted if Z scores of height for age are less than 2 SD below the median of the WHO Child Growth Standards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National nutrition survey 2005 page 59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Anemia per region children aged 6-59 months (cut off is Hb &lt;11.0) 
NB also applied to children 0-6 months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National nutrition survey 2005 page 59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Anemia per region children aged 6-59 months (cut off is Hb &lt;11.0) 
NB also applied to children 0-6 months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National nutrition survey 2005 page 59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Anemia per region children aged 6-59 months (cut off is Hb &lt;11.0) 
NB also applied to children 0-6 months</t>
        </r>
      </text>
    </comment>
    <comment ref="F14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National nutrition survey 2005 page 59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Anemia per region children aged 6-59 months (cut off is Hb &lt;11.0) 
NB also applied to children 0-6 months</t>
        </r>
      </text>
    </comment>
    <comment ref="G14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National nutrition survey 2005 page 59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Anemia per region children aged 6-59 months (cut off is Hb &lt;11.0) 
NB also applied to children 0-6 months</t>
        </r>
      </text>
    </comment>
    <comment ref="H14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World Bank databank PNG (World development indicators)
row 203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Prevalence of anemia among pregnant women (%)
Applied across all age groups
</t>
        </r>
      </text>
    </comment>
    <comment ref="L14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National nutrition survey 2005 page 61
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Anemia per region in non-pregnant women aged 15-49  (cut off is Hb &lt;11.0) 
</t>
        </r>
      </text>
    </comment>
    <comment ref="M14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National nutrition survey 2005 page 61
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Anemia per region in non-pregnant women aged 15-49  (cut off is Hb &lt;11.0) 
</t>
        </r>
      </text>
    </comment>
    <comment ref="N14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National nutrition survey 2005 page 61
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Anemia per region in non-pregnant women aged 15-49  (cut off is Hb &lt;11.0) 
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National nutrition survey 2005 page 61
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Anemia per region in non-pregnant women aged 15-49  (cut off is Hb &lt;11.0) 
</t>
        </r>
      </text>
    </comment>
  </commentList>
</comments>
</file>

<file path=xl/comments5.xml><?xml version="1.0" encoding="utf-8"?>
<comments xmlns="http://schemas.openxmlformats.org/spreadsheetml/2006/main">
  <authors>
    <author>Optima team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PNG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DHS 2006 table 9.2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 xml:space="preserve">weighted average of all age groups combined </t>
        </r>
      </text>
    </comment>
  </commentList>
</comments>
</file>

<file path=xl/comments6.xml><?xml version="1.0" encoding="utf-8"?>
<comments xmlns="http://schemas.openxmlformats.org/spreadsheetml/2006/main">
  <authors>
    <author>Optima team</author>
    <author>Nick Scott</author>
  </authors>
  <commentList>
    <comment ref="D2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WPRO B (Western Pacific Region) $25.00 (2010)
CPI inflation calculator Jan 2010-Jan 2017 = $28.02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WPRO B (Western Pacific Region) $9.16 (2010)
CPI inflation calculator Jan 2010-Jan 2017 = $10.27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Tanzania analysis 2018
Uses 2013 PSS data hence corrected for inflation (2013: $60, 2017: $63.27)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DHS 2006 table 4.3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Ever use of contraception for all women 38.7%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266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Mean unit cost fortification of maize Vietnam $ 0.15 (2015)
$0.16 (2017)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266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Mean unit cost fortification of rice Vietnam $ 1.41 (2015)
$1.47 (2017)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266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Mean unit cost fortification of wheat flour Vietnam $ 0.20 (2015)
$0.21 (2017)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264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IFAS community health system delivery + supplement Vietnam $ 0.28 (2015)
$0.29 (2017)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264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IFAS hospital/clinic delivery + supplement Vietnam $ 2.07 (2015)
$2.15 (2017)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264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IFAS retailer + supplement Vietnam $ 0.24 (2015)
$0.25 (2017)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264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IFAS in-school program delivery + supplement Vietnam $0.63 (2015)
$0.65 (2017)</t>
        </r>
      </text>
    </comment>
    <comment ref="B16" authorId="0">
      <text>
        <r>
          <rPr>
            <sz val="9"/>
            <color indexed="81"/>
            <rFont val="Tahoma"/>
            <family val="2"/>
          </rPr>
          <t>No data in MIS 2016-2017
WMR 2018
IPTp coverage in SSA for one, two or three doses respectively is 54%/42%/22%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
An Investment Framework for Nutrition pg 262 (original source White et al 2011)</t>
        </r>
        <r>
          <rPr>
            <b/>
            <sz val="9"/>
            <color indexed="81"/>
            <rFont val="Tahoma"/>
            <family val="2"/>
          </rPr>
          <t xml:space="preserve">
Value:</t>
        </r>
        <r>
          <rPr>
            <sz val="9"/>
            <color indexed="81"/>
            <rFont val="Tahoma"/>
            <family val="2"/>
          </rPr>
          <t xml:space="preserve">
Sub-Saharan Africa - IPTp $ 2.18 (2015)
$2.27 (2017)</t>
        </r>
      </text>
    </comment>
    <comment ref="B17" authorId="0">
      <text>
        <r>
          <rPr>
            <sz val="9"/>
            <color indexed="81"/>
            <rFont val="Tahoma"/>
            <family val="2"/>
          </rPr>
          <t xml:space="preserve">LiST
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WPRO B (Western Pacific Region) $5.05 (2010)
CPI inflation calculator Jan 2010-Jan 2017 = $5.66
FYI Tanzania: no info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WPRO B (Western Pacific Region) $5.05 (2010)
CPI inflation calculator Jan 2010-Jan 2017 = $5.66
FYI Tanzania: no info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WPRO B (Western Pacific Region) $5.05 (2010)
CPI inflation calculator Jan 2010-Jan 2017 = $5.66
FYI Tanzania: no info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B23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MIS 2016-2017 page 4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
Proportion of pregnant women and children under 5 that slept under an insecticide treated net the previous night were 59.6% and 59.5% respectively  </t>
        </r>
      </text>
    </comment>
    <comment ref="B24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B25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LiST/DHS 2006 pg 130
</t>
        </r>
        <r>
          <rPr>
            <b/>
            <sz val="9"/>
            <color indexed="81"/>
            <rFont val="Tahoma"/>
            <family val="2"/>
          </rPr>
          <t xml:space="preserve">Value: *not really coverage??* </t>
        </r>
        <r>
          <rPr>
            <sz val="9"/>
            <color indexed="81"/>
            <rFont val="Tahoma"/>
            <family val="2"/>
          </rPr>
          <t>Of the children who were reported to have diarrhoea in the two weeks preceding the survey, 8 percent were given oral rehydration salts</t>
        </r>
      </text>
    </comment>
    <comment ref="D28" authorId="1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Value = $1*2.2
= $2.20
Diarrhoea incidence is the average in children under 5.  See user guide for further information
</t>
        </r>
      </text>
    </comment>
    <comment ref="B29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WPRO B (Western Pacific Region) $50.00 (2010)
CPI inflation calculator Jan 2010-Jan 2017 = $56.03
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 xml:space="preserve">WPRO B (Western Pacific Region) $198.25 (2010)
CPI inflation calculator Jan 2010-Jan 2017 = $222.18
Weighted SAM prevalence = =((0.058*1)+(0.058*5)+(0.043*5)+(0.037*11)+(0.02*35))/(1+5+5+11+35)
= 2.93%
Unit cost per person per year = 222.18*0.0293*2.6
= $16.93
</t>
        </r>
        <r>
          <rPr>
            <b/>
            <sz val="9"/>
            <color indexed="81"/>
            <rFont val="Tahoma"/>
            <family val="2"/>
          </rPr>
          <t>FYI:</t>
        </r>
        <r>
          <rPr>
            <sz val="9"/>
            <color indexed="81"/>
            <rFont val="Tahoma"/>
            <family val="2"/>
          </rPr>
          <t xml:space="preserve"> Tanzania $90</t>
        </r>
      </text>
    </comment>
    <comment ref="B31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D31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WPRO B (Western Pacific Region) $2.22 (2010)
CPI inflation calculator Jan 2010-Jan 2017 = $2.80
FYI Tanzania: 0.40 per child per year</t>
        </r>
      </text>
    </comment>
    <comment ref="B32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B33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B34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B35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>LiST</t>
        </r>
      </text>
    </comment>
    <comment ref="D37" authorId="1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= $1.5*2.2
=$3.30
Diarrhoea incidence is the average in children under 5.  See user guide for further information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LiST
</t>
        </r>
        <r>
          <rPr>
            <b/>
            <sz val="9"/>
            <color indexed="81"/>
            <rFont val="Tahoma"/>
            <family val="2"/>
          </rPr>
          <t>Value:</t>
        </r>
        <r>
          <rPr>
            <sz val="9"/>
            <color indexed="81"/>
            <rFont val="Tahoma"/>
            <family val="2"/>
          </rPr>
          <t xml:space="preserve"> Coverage zinc supplementation 0.0
</t>
        </r>
      </text>
    </comment>
    <comment ref="D38" authorId="0">
      <text>
        <r>
          <rPr>
            <b/>
            <sz val="9"/>
            <color indexed="81"/>
            <rFont val="Tahoma"/>
            <family val="2"/>
          </rPr>
          <t>Source:</t>
        </r>
        <r>
          <rPr>
            <sz val="9"/>
            <color indexed="81"/>
            <rFont val="Tahoma"/>
            <family val="2"/>
          </rPr>
          <t xml:space="preserve"> Bhutta et al 2013 Evidence-based interventions for improvement of maternal and child nutrition: what can be done and at what cost? 
Supplementary material web appendix panel 14
https://www.thelancet.com/cms/10.1016/S0140-6736(13)60996-4/attachment/c59fe701-39f8-49e1-bc11-53032b08d0ae/mmc1.pdf</t>
        </r>
        <r>
          <rPr>
            <b/>
            <sz val="9"/>
            <color indexed="81"/>
            <rFont val="Tahoma"/>
            <family val="2"/>
          </rPr>
          <t xml:space="preserve">
Value: </t>
        </r>
        <r>
          <rPr>
            <sz val="9"/>
            <color indexed="81"/>
            <rFont val="Tahoma"/>
            <family val="2"/>
          </rPr>
          <t>WPRO B (Western Pacific Region) $5.05 (2010)
CPI inflation calculator Jan 2010-Jan 2017 = $5.66
FYI Tanzania: no info</t>
        </r>
      </text>
    </comment>
  </commentList>
</comments>
</file>

<file path=xl/comments7.xml><?xml version="1.0" encoding="utf-8"?>
<comments xmlns="http://schemas.openxmlformats.org/spreadsheetml/2006/main">
  <authors>
    <author>Sam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1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>
  <authors>
    <author>Nick Scott</author>
  </authors>
  <commentList>
    <comment ref="A36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<sst xmlns="http://schemas.openxmlformats.org/spreadsheetml/2006/main" count="1101" uniqueCount="271">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</sst>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</cellStyleXfs>
  <cellXfs count="143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6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9" fillId="3" borderId="1" xfId="1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ont="1" applyFill="1" applyBorder="1" applyAlignment="1" applyProtection="1">
      <protection locked="0"/>
    </xf>
    <xf numFmtId="166" fontId="4" fillId="2" borderId="1" xfId="10" applyNumberFormat="1" applyFont="1" applyFill="1" applyBorder="1" applyAlignment="1" applyProtection="1">
      <protection locked="0"/>
    </xf>
    <xf numFmtId="166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5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=""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=""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=""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600"/>
  </sheetPr>
  <dimension ref="A1:E63"/>
  <sheetViews>
    <sheetView topLeftCell="A26" zoomScaleNormal="100" workbookViewId="0">
      <selection activeCell="C11" sqref="C11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271061.96000000002</v>
      </c>
    </row>
    <row r="8" spans="1:3" ht="15" customHeight="1" x14ac:dyDescent="0.25">
      <c r="B8" s="7" t="s">
        <v>106</v>
      </c>
      <c r="C8" s="70">
        <v>0.39900000000000002</v>
      </c>
    </row>
    <row r="9" spans="1:3" ht="15" customHeight="1" x14ac:dyDescent="0.25">
      <c r="B9" s="9" t="s">
        <v>107</v>
      </c>
      <c r="C9" s="71">
        <v>1</v>
      </c>
    </row>
    <row r="10" spans="1:3" ht="15" customHeight="1" x14ac:dyDescent="0.25">
      <c r="B10" s="9" t="s">
        <v>105</v>
      </c>
      <c r="C10" s="71">
        <v>0.29959999999999998</v>
      </c>
    </row>
    <row r="11" spans="1:3" ht="15" customHeight="1" x14ac:dyDescent="0.25">
      <c r="B11" s="7" t="s">
        <v>108</v>
      </c>
      <c r="C11" s="70">
        <v>0.52</v>
      </c>
    </row>
    <row r="12" spans="1:3" ht="15" customHeight="1" x14ac:dyDescent="0.25">
      <c r="B12" s="7" t="s">
        <v>109</v>
      </c>
      <c r="C12" s="70">
        <v>0.44500000000000001</v>
      </c>
    </row>
    <row r="13" spans="1:3" ht="15" customHeight="1" x14ac:dyDescent="0.25">
      <c r="B13" s="7" t="s">
        <v>110</v>
      </c>
      <c r="C13" s="70">
        <v>0.29799999999999999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0.8</v>
      </c>
    </row>
    <row r="17" spans="1:3" ht="15" customHeight="1" x14ac:dyDescent="0.25">
      <c r="B17" s="9" t="s">
        <v>95</v>
      </c>
      <c r="C17" s="71">
        <v>0.8</v>
      </c>
    </row>
    <row r="18" spans="1:3" ht="15" customHeight="1" x14ac:dyDescent="0.25">
      <c r="B18" s="9" t="s">
        <v>96</v>
      </c>
      <c r="C18" s="71">
        <v>0.1</v>
      </c>
    </row>
    <row r="19" spans="1:3" ht="15" customHeight="1" x14ac:dyDescent="0.25">
      <c r="B19" s="9" t="s">
        <v>97</v>
      </c>
      <c r="C19" s="71">
        <v>0.1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8.4099999999999994E-2</v>
      </c>
    </row>
    <row r="24" spans="1:3" ht="15" customHeight="1" x14ac:dyDescent="0.25">
      <c r="B24" s="20" t="s">
        <v>102</v>
      </c>
      <c r="C24" s="71">
        <v>0.46600000000000003</v>
      </c>
    </row>
    <row r="25" spans="1:3" ht="15" customHeight="1" x14ac:dyDescent="0.25">
      <c r="B25" s="20" t="s">
        <v>103</v>
      </c>
      <c r="C25" s="71">
        <v>0.34670000000000001</v>
      </c>
    </row>
    <row r="26" spans="1:3" ht="15" customHeight="1" x14ac:dyDescent="0.25">
      <c r="B26" s="20" t="s">
        <v>104</v>
      </c>
      <c r="C26" s="71">
        <v>0.1032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0.223</v>
      </c>
    </row>
    <row r="30" spans="1:3" ht="14.25" customHeight="1" x14ac:dyDescent="0.25">
      <c r="B30" s="30" t="s">
        <v>76</v>
      </c>
      <c r="C30" s="73">
        <v>0.11700000000000001</v>
      </c>
    </row>
    <row r="31" spans="1:3" ht="14.25" customHeight="1" x14ac:dyDescent="0.25">
      <c r="B31" s="30" t="s">
        <v>77</v>
      </c>
      <c r="C31" s="73">
        <v>0.161</v>
      </c>
    </row>
    <row r="32" spans="1:3" ht="14.25" customHeight="1" x14ac:dyDescent="0.25">
      <c r="B32" s="30" t="s">
        <v>78</v>
      </c>
      <c r="C32" s="73">
        <v>0.499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24.7</v>
      </c>
    </row>
    <row r="38" spans="1:5" ht="15" customHeight="1" x14ac:dyDescent="0.25">
      <c r="B38" s="16" t="s">
        <v>91</v>
      </c>
      <c r="C38" s="75">
        <v>44.4</v>
      </c>
      <c r="D38" s="17"/>
      <c r="E38" s="18"/>
    </row>
    <row r="39" spans="1:5" ht="15" customHeight="1" x14ac:dyDescent="0.25">
      <c r="B39" s="16" t="s">
        <v>90</v>
      </c>
      <c r="C39" s="75">
        <v>57.1</v>
      </c>
      <c r="D39" s="17"/>
      <c r="E39" s="17"/>
    </row>
    <row r="40" spans="1:5" ht="15" customHeight="1" x14ac:dyDescent="0.25">
      <c r="B40" s="16" t="s">
        <v>171</v>
      </c>
      <c r="C40" s="75">
        <v>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1.46E-2</v>
      </c>
      <c r="D45" s="17"/>
    </row>
    <row r="46" spans="1:5" ht="15.75" customHeight="1" x14ac:dyDescent="0.25">
      <c r="B46" s="16" t="s">
        <v>11</v>
      </c>
      <c r="C46" s="71">
        <v>5.0799999999999998E-2</v>
      </c>
      <c r="D46" s="17"/>
    </row>
    <row r="47" spans="1:5" ht="15.75" customHeight="1" x14ac:dyDescent="0.25">
      <c r="B47" s="16" t="s">
        <v>12</v>
      </c>
      <c r="C47" s="71">
        <v>0.2014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0.73320000000000007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2.2000000000000002</v>
      </c>
      <c r="D51" s="17"/>
    </row>
    <row r="52" spans="1:4" ht="15" customHeight="1" x14ac:dyDescent="0.25">
      <c r="B52" s="16" t="s">
        <v>125</v>
      </c>
      <c r="C52" s="76">
        <v>2.2000000000000002</v>
      </c>
    </row>
    <row r="53" spans="1:4" ht="15.75" customHeight="1" x14ac:dyDescent="0.25">
      <c r="B53" s="16" t="s">
        <v>126</v>
      </c>
      <c r="C53" s="76">
        <v>2.2000000000000002</v>
      </c>
    </row>
    <row r="54" spans="1:4" ht="15.75" customHeight="1" x14ac:dyDescent="0.25">
      <c r="B54" s="16" t="s">
        <v>127</v>
      </c>
      <c r="C54" s="76">
        <v>2.2000000000000002</v>
      </c>
    </row>
    <row r="55" spans="1:4" ht="15.75" customHeight="1" x14ac:dyDescent="0.25">
      <c r="B55" s="16" t="s">
        <v>128</v>
      </c>
      <c r="C55" s="76">
        <v>2.2000000000000002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f>182/1000</f>
        <v>0.182</v>
      </c>
    </row>
    <row r="59" spans="1:4" ht="15.75" customHeight="1" x14ac:dyDescent="0.25">
      <c r="B59" s="16" t="s">
        <v>132</v>
      </c>
      <c r="C59" s="70">
        <v>0.27739999999999998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9"/>
  <sheetViews>
    <sheetView workbookViewId="0">
      <selection activeCell="C2" sqref="C2:E6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58</v>
      </c>
      <c r="B4" s="84" t="s">
        <v>136</v>
      </c>
      <c r="C4" s="84"/>
    </row>
    <row r="5" spans="1:3" x14ac:dyDescent="0.25">
      <c r="A5" s="89" t="s">
        <v>137</v>
      </c>
      <c r="B5" s="84" t="s">
        <v>136</v>
      </c>
      <c r="C5" s="84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2.2000000000000002</v>
      </c>
      <c r="C2" s="26">
        <f>'Baseline year population inputs'!C52</f>
        <v>2.2000000000000002</v>
      </c>
      <c r="D2" s="26">
        <f>'Baseline year population inputs'!C53</f>
        <v>2.2000000000000002</v>
      </c>
      <c r="E2" s="26">
        <f>'Baseline year population inputs'!C54</f>
        <v>2.2000000000000002</v>
      </c>
      <c r="F2" s="26">
        <f>'Baseline year population inputs'!C55</f>
        <v>2.2000000000000002</v>
      </c>
    </row>
    <row r="3" spans="1:6" ht="15.75" customHeight="1" x14ac:dyDescent="0.25">
      <c r="A3" s="3" t="s">
        <v>65</v>
      </c>
      <c r="B3" s="26">
        <f>frac_mam_1month * 2.6</f>
        <v>0.64480000000000004</v>
      </c>
      <c r="C3" s="26">
        <f>frac_mam_1_5months * 2.6</f>
        <v>0.64480000000000004</v>
      </c>
      <c r="D3" s="26">
        <f>frac_mam_6_11months * 2.6</f>
        <v>0.62139999999999995</v>
      </c>
      <c r="E3" s="26">
        <f>frac_mam_12_23months * 2.6</f>
        <v>0.52628775510204084</v>
      </c>
      <c r="F3" s="26">
        <f>frac_mam_24_59months * 2.6</f>
        <v>0.29492894736842107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9.5112244897959178E-2</v>
      </c>
      <c r="F4" s="26">
        <f>frac_sam_24_59months * 2.6</f>
        <v>8.9871052631578949E-2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zoomScale="85" zoomScaleNormal="118" workbookViewId="0">
      <selection activeCell="C35" sqref="C35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0.39900000000000002</v>
      </c>
      <c r="E2" s="92">
        <f>food_insecure</f>
        <v>0.39900000000000002</v>
      </c>
      <c r="F2" s="92">
        <f>food_insecure</f>
        <v>0.39900000000000002</v>
      </c>
      <c r="G2" s="92">
        <f>food_insecure</f>
        <v>0.39900000000000002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0.39900000000000002</v>
      </c>
      <c r="F5" s="92">
        <f>food_insecure</f>
        <v>0.39900000000000002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8.461538461538462E-2</v>
      </c>
      <c r="D7" s="92">
        <f>diarrhoea_1_5mo/26</f>
        <v>8.461538461538462E-2</v>
      </c>
      <c r="E7" s="92">
        <f>diarrhoea_6_11mo/26</f>
        <v>8.461538461538462E-2</v>
      </c>
      <c r="F7" s="92">
        <f>diarrhoea_12_23mo/26</f>
        <v>8.461538461538462E-2</v>
      </c>
      <c r="G7" s="92">
        <f>diarrhoea_24_59mo/26</f>
        <v>8.461538461538462E-2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0.39900000000000002</v>
      </c>
      <c r="F8" s="92">
        <f>food_insecure</f>
        <v>0.39900000000000002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0.44500000000000001</v>
      </c>
      <c r="E9" s="92">
        <f>IF(ISBLANK(comm_deliv), frac_children_health_facility,1)</f>
        <v>0.44500000000000001</v>
      </c>
      <c r="F9" s="92">
        <f>IF(ISBLANK(comm_deliv), frac_children_health_facility,1)</f>
        <v>0.44500000000000001</v>
      </c>
      <c r="G9" s="92">
        <f>IF(ISBLANK(comm_deliv), frac_children_health_facility,1)</f>
        <v>0.44500000000000001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8.461538461538462E-2</v>
      </c>
      <c r="D11" s="92">
        <f>diarrhoea_1_5mo/26</f>
        <v>8.461538461538462E-2</v>
      </c>
      <c r="E11" s="92">
        <f>diarrhoea_6_11mo/26</f>
        <v>8.461538461538462E-2</v>
      </c>
      <c r="F11" s="92">
        <f>diarrhoea_12_23mo/26</f>
        <v>8.461538461538462E-2</v>
      </c>
      <c r="G11" s="92">
        <f>diarrhoea_24_59mo/26</f>
        <v>8.461538461538462E-2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0.39900000000000002</v>
      </c>
      <c r="I14" s="92">
        <f>food_insecure</f>
        <v>0.39900000000000002</v>
      </c>
      <c r="J14" s="92">
        <f>food_insecure</f>
        <v>0.39900000000000002</v>
      </c>
      <c r="K14" s="92">
        <f>food_insecure</f>
        <v>0.39900000000000002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0.52</v>
      </c>
      <c r="I17" s="92">
        <f>frac_PW_health_facility</f>
        <v>0.52</v>
      </c>
      <c r="J17" s="92">
        <f>frac_PW_health_facility</f>
        <v>0.52</v>
      </c>
      <c r="K17" s="92">
        <f>frac_PW_health_facility</f>
        <v>0.52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1</v>
      </c>
      <c r="I18" s="92">
        <f>frac_malaria_risk</f>
        <v>1</v>
      </c>
      <c r="J18" s="92">
        <f>frac_malaria_risk</f>
        <v>1</v>
      </c>
      <c r="K18" s="92">
        <f>frac_malaria_risk</f>
        <v>1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0.29799999999999999</v>
      </c>
      <c r="M23" s="92">
        <f>famplan_unmet_need</f>
        <v>0.29799999999999999</v>
      </c>
      <c r="N23" s="92">
        <f>famplan_unmet_need</f>
        <v>0.29799999999999999</v>
      </c>
      <c r="O23" s="92">
        <f>famplan_unmet_need</f>
        <v>0.29799999999999999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0.40188251600000002</v>
      </c>
      <c r="M24" s="92">
        <f>(1-food_insecure)*(0.49)+food_insecure*(0.7)</f>
        <v>0.57379000000000002</v>
      </c>
      <c r="N24" s="92">
        <f>(1-food_insecure)*(0.49)+food_insecure*(0.7)</f>
        <v>0.57379000000000002</v>
      </c>
      <c r="O24" s="92">
        <f>(1-food_insecure)*(0.49)+food_insecure*(0.7)</f>
        <v>0.57379000000000002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0.172235364</v>
      </c>
      <c r="M25" s="92">
        <f>(1-food_insecure)*(0.21)+food_insecure*(0.3)</f>
        <v>0.24590999999999999</v>
      </c>
      <c r="N25" s="92">
        <f>(1-food_insecure)*(0.21)+food_insecure*(0.3)</f>
        <v>0.24590999999999999</v>
      </c>
      <c r="O25" s="92">
        <f>(1-food_insecure)*(0.21)+food_insecure*(0.3)</f>
        <v>0.24590999999999999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0.12628212</v>
      </c>
      <c r="M26" s="92">
        <f>(1-food_insecure)*(0.3)</f>
        <v>0.18029999999999999</v>
      </c>
      <c r="N26" s="92">
        <f>(1-food_insecure)*(0.3)</f>
        <v>0.18029999999999999</v>
      </c>
      <c r="O26" s="92">
        <f>(1-food_insecure)*(0.3)</f>
        <v>0.18029999999999999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0.29959999999999998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0.1</v>
      </c>
      <c r="F29" s="92">
        <f t="shared" si="0"/>
        <v>0.1</v>
      </c>
      <c r="G29" s="92">
        <f t="shared" si="0"/>
        <v>0.1</v>
      </c>
      <c r="H29" s="92">
        <f t="shared" si="0"/>
        <v>0.1</v>
      </c>
      <c r="I29" s="92">
        <f t="shared" si="0"/>
        <v>0.1</v>
      </c>
      <c r="J29" s="92">
        <f t="shared" si="0"/>
        <v>0.1</v>
      </c>
      <c r="K29" s="92">
        <f t="shared" si="0"/>
        <v>0.1</v>
      </c>
      <c r="L29" s="92">
        <f t="shared" si="0"/>
        <v>0.1</v>
      </c>
      <c r="M29" s="92">
        <f t="shared" si="0"/>
        <v>0.1</v>
      </c>
      <c r="N29" s="92">
        <f t="shared" si="0"/>
        <v>0.1</v>
      </c>
      <c r="O29" s="92">
        <f t="shared" si="0"/>
        <v>0.1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0.8</v>
      </c>
      <c r="F30" s="92">
        <f t="shared" si="1"/>
        <v>0.8</v>
      </c>
      <c r="G30" s="92">
        <f t="shared" si="1"/>
        <v>0.8</v>
      </c>
      <c r="H30" s="92">
        <f t="shared" si="1"/>
        <v>0.8</v>
      </c>
      <c r="I30" s="92">
        <f t="shared" si="1"/>
        <v>0.8</v>
      </c>
      <c r="J30" s="92">
        <f t="shared" si="1"/>
        <v>0.8</v>
      </c>
      <c r="K30" s="92">
        <f t="shared" si="1"/>
        <v>0.8</v>
      </c>
      <c r="L30" s="92">
        <f t="shared" si="1"/>
        <v>0.8</v>
      </c>
      <c r="M30" s="92">
        <f t="shared" si="1"/>
        <v>0.8</v>
      </c>
      <c r="N30" s="92">
        <f t="shared" si="1"/>
        <v>0.8</v>
      </c>
      <c r="O30" s="92">
        <f t="shared" si="1"/>
        <v>0.8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0.1</v>
      </c>
      <c r="F31" s="92">
        <f t="shared" ref="F31:O31" si="2">frac_wheat</f>
        <v>0.1</v>
      </c>
      <c r="G31" s="92">
        <f t="shared" si="2"/>
        <v>0.1</v>
      </c>
      <c r="H31" s="92">
        <f t="shared" si="2"/>
        <v>0.1</v>
      </c>
      <c r="I31" s="92">
        <f t="shared" si="2"/>
        <v>0.1</v>
      </c>
      <c r="J31" s="92">
        <f t="shared" si="2"/>
        <v>0.1</v>
      </c>
      <c r="K31" s="92">
        <f t="shared" si="2"/>
        <v>0.1</v>
      </c>
      <c r="L31" s="92">
        <f t="shared" si="2"/>
        <v>0.1</v>
      </c>
      <c r="M31" s="92">
        <f t="shared" si="2"/>
        <v>0.1</v>
      </c>
      <c r="N31" s="92">
        <f t="shared" si="2"/>
        <v>0.1</v>
      </c>
      <c r="O31" s="92">
        <f t="shared" si="2"/>
        <v>0.1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1</v>
      </c>
      <c r="D33" s="92">
        <f t="shared" si="3"/>
        <v>1</v>
      </c>
      <c r="E33" s="92">
        <f t="shared" si="3"/>
        <v>1</v>
      </c>
      <c r="F33" s="92">
        <f t="shared" si="3"/>
        <v>1</v>
      </c>
      <c r="G33" s="92">
        <f t="shared" si="3"/>
        <v>1</v>
      </c>
      <c r="H33" s="92">
        <f t="shared" si="3"/>
        <v>1</v>
      </c>
      <c r="I33" s="92">
        <f t="shared" si="3"/>
        <v>1</v>
      </c>
      <c r="J33" s="92">
        <f t="shared" si="3"/>
        <v>1</v>
      </c>
      <c r="K33" s="92">
        <f t="shared" si="3"/>
        <v>1</v>
      </c>
      <c r="L33" s="92">
        <f t="shared" si="3"/>
        <v>1</v>
      </c>
      <c r="M33" s="92">
        <f t="shared" si="3"/>
        <v>1</v>
      </c>
      <c r="N33" s="92">
        <f t="shared" si="3"/>
        <v>1</v>
      </c>
      <c r="O33" s="92">
        <f t="shared" si="3"/>
        <v>1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600"/>
  </sheetPr>
  <dimension ref="A1:I40"/>
  <sheetViews>
    <sheetView zoomScale="85" zoomScaleNormal="85" workbookViewId="0">
      <selection activeCell="B2" sqref="B2:B15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59945.599999999999</v>
      </c>
      <c r="C2" s="78">
        <v>108225.26000000001</v>
      </c>
      <c r="D2" s="78">
        <v>177910.2</v>
      </c>
      <c r="E2" s="78">
        <v>143665.60000000001</v>
      </c>
      <c r="F2" s="78">
        <v>106607.54000000001</v>
      </c>
      <c r="G2" s="22">
        <f t="shared" ref="G2:G40" si="0">C2+D2+E2+F2</f>
        <v>536408.60000000009</v>
      </c>
      <c r="H2" s="22">
        <f t="shared" ref="H2:H40" si="1">(B2 + stillbirth*B2/(1000-stillbirth))/(1-abortion)</f>
        <v>69249.234679142843</v>
      </c>
      <c r="I2" s="22">
        <f>G2-H2</f>
        <v>467159.36532085727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60486.400000000001</v>
      </c>
      <c r="C3" s="78">
        <v>110004.18000000001</v>
      </c>
      <c r="D3" s="78">
        <v>182604.76</v>
      </c>
      <c r="E3" s="78">
        <v>146258.84</v>
      </c>
      <c r="F3" s="78">
        <v>109950.35999999999</v>
      </c>
      <c r="G3" s="22">
        <f t="shared" si="0"/>
        <v>548818.14</v>
      </c>
      <c r="H3" s="22">
        <f t="shared" si="1"/>
        <v>69873.967538843644</v>
      </c>
      <c r="I3" s="22">
        <f t="shared" ref="I3:I15" si="3">G3-H3</f>
        <v>478944.17246115638</v>
      </c>
    </row>
    <row r="4" spans="1:9" ht="15.75" customHeight="1" x14ac:dyDescent="0.25">
      <c r="A4" s="7">
        <f t="shared" si="2"/>
        <v>2019</v>
      </c>
      <c r="B4" s="77">
        <v>61027.200000000004</v>
      </c>
      <c r="C4" s="78">
        <v>111705.36</v>
      </c>
      <c r="D4" s="78">
        <v>187431.40000000002</v>
      </c>
      <c r="E4" s="78">
        <v>148820.87999999998</v>
      </c>
      <c r="F4" s="78">
        <v>113354.28</v>
      </c>
      <c r="G4" s="22">
        <f t="shared" si="0"/>
        <v>561311.92000000004</v>
      </c>
      <c r="H4" s="22">
        <f t="shared" si="1"/>
        <v>70498.700398544446</v>
      </c>
      <c r="I4" s="22">
        <f t="shared" si="3"/>
        <v>490813.21960145561</v>
      </c>
    </row>
    <row r="5" spans="1:9" ht="15.75" customHeight="1" x14ac:dyDescent="0.25">
      <c r="A5" s="7">
        <f t="shared" si="2"/>
        <v>2020</v>
      </c>
      <c r="B5" s="77">
        <v>61568</v>
      </c>
      <c r="C5" s="78">
        <v>113414.86</v>
      </c>
      <c r="D5" s="78">
        <v>192262.2</v>
      </c>
      <c r="E5" s="78">
        <v>151423.74</v>
      </c>
      <c r="F5" s="78">
        <v>116793.56</v>
      </c>
      <c r="G5" s="22">
        <f t="shared" si="0"/>
        <v>573894.36</v>
      </c>
      <c r="H5" s="22">
        <f t="shared" si="1"/>
        <v>71123.433258245248</v>
      </c>
      <c r="I5" s="22">
        <f t="shared" si="3"/>
        <v>502770.92674175475</v>
      </c>
    </row>
    <row r="6" spans="1:9" ht="15.75" customHeight="1" x14ac:dyDescent="0.25">
      <c r="A6" s="7">
        <f t="shared" si="2"/>
        <v>2021</v>
      </c>
      <c r="B6" s="77">
        <v>62056.800000000003</v>
      </c>
      <c r="C6" s="78">
        <v>115093.94</v>
      </c>
      <c r="D6" s="78">
        <v>197058.41999999998</v>
      </c>
      <c r="E6" s="78">
        <v>154014.64000000001</v>
      </c>
      <c r="F6" s="78">
        <v>120118.96</v>
      </c>
      <c r="G6" s="22">
        <f t="shared" si="0"/>
        <v>586285.96</v>
      </c>
      <c r="H6" s="22">
        <f t="shared" si="1"/>
        <v>71688.095650667135</v>
      </c>
      <c r="I6" s="22">
        <f t="shared" si="3"/>
        <v>514597.86434933281</v>
      </c>
    </row>
    <row r="7" spans="1:9" ht="15.75" customHeight="1" x14ac:dyDescent="0.25">
      <c r="A7" s="7">
        <f t="shared" si="2"/>
        <v>2022</v>
      </c>
      <c r="B7" s="77">
        <v>62545.599999999999</v>
      </c>
      <c r="C7" s="78">
        <v>116777.18000000001</v>
      </c>
      <c r="D7" s="78">
        <v>201869.72</v>
      </c>
      <c r="E7" s="78">
        <v>156649.22000000003</v>
      </c>
      <c r="F7" s="78">
        <v>123508.05999999998</v>
      </c>
      <c r="G7" s="22">
        <f t="shared" si="0"/>
        <v>598804.18000000005</v>
      </c>
      <c r="H7" s="22">
        <f t="shared" si="1"/>
        <v>72252.758043089008</v>
      </c>
      <c r="I7" s="22">
        <f t="shared" si="3"/>
        <v>526551.42195691098</v>
      </c>
    </row>
    <row r="8" spans="1:9" ht="15.75" customHeight="1" x14ac:dyDescent="0.25">
      <c r="A8" s="7">
        <f t="shared" si="2"/>
        <v>2023</v>
      </c>
      <c r="B8" s="77">
        <v>63034.400000000001</v>
      </c>
      <c r="C8" s="78">
        <v>118412.06</v>
      </c>
      <c r="D8" s="78">
        <v>206601.46000000002</v>
      </c>
      <c r="E8" s="78">
        <v>159441.36000000002</v>
      </c>
      <c r="F8" s="78">
        <v>126884.15999999999</v>
      </c>
      <c r="G8" s="22">
        <f t="shared" si="0"/>
        <v>611339.04</v>
      </c>
      <c r="H8" s="22">
        <f t="shared" si="1"/>
        <v>72817.420435510896</v>
      </c>
      <c r="I8" s="22">
        <f t="shared" si="3"/>
        <v>538521.61956448911</v>
      </c>
    </row>
    <row r="9" spans="1:9" ht="15.75" customHeight="1" x14ac:dyDescent="0.25">
      <c r="A9" s="7">
        <f t="shared" si="2"/>
        <v>2024</v>
      </c>
      <c r="B9" s="77">
        <v>63523.200000000004</v>
      </c>
      <c r="C9" s="78">
        <v>119913.56</v>
      </c>
      <c r="D9" s="78">
        <v>211129.62</v>
      </c>
      <c r="E9" s="78">
        <v>162559.80000000002</v>
      </c>
      <c r="F9" s="78">
        <v>130140.14</v>
      </c>
      <c r="G9" s="22">
        <f t="shared" si="0"/>
        <v>623743.12</v>
      </c>
      <c r="H9" s="22">
        <f t="shared" si="1"/>
        <v>73382.082827932769</v>
      </c>
      <c r="I9" s="22">
        <f t="shared" si="3"/>
        <v>550361.03717206721</v>
      </c>
    </row>
    <row r="10" spans="1:9" ht="15.75" customHeight="1" x14ac:dyDescent="0.25">
      <c r="A10" s="7">
        <f t="shared" si="2"/>
        <v>2025</v>
      </c>
      <c r="B10" s="77">
        <v>64012</v>
      </c>
      <c r="C10" s="78">
        <v>121239.56</v>
      </c>
      <c r="D10" s="78">
        <v>215377.5</v>
      </c>
      <c r="E10" s="78">
        <v>166104.12000000002</v>
      </c>
      <c r="F10" s="78">
        <v>133214.64000000001</v>
      </c>
      <c r="G10" s="22">
        <f t="shared" si="0"/>
        <v>635935.82000000007</v>
      </c>
      <c r="H10" s="22">
        <f t="shared" si="1"/>
        <v>73946.745220354642</v>
      </c>
      <c r="I10" s="22">
        <f t="shared" si="3"/>
        <v>561989.07477964542</v>
      </c>
    </row>
    <row r="11" spans="1:9" ht="15.75" customHeight="1" x14ac:dyDescent="0.25">
      <c r="A11" s="7">
        <f t="shared" si="2"/>
        <v>2026</v>
      </c>
      <c r="B11" s="77">
        <v>64428</v>
      </c>
      <c r="C11" s="78">
        <v>122442.06</v>
      </c>
      <c r="D11" s="78">
        <v>219374.48</v>
      </c>
      <c r="E11" s="78">
        <v>170064.18</v>
      </c>
      <c r="F11" s="78">
        <v>136016.92000000001</v>
      </c>
      <c r="G11" s="22">
        <f t="shared" si="0"/>
        <v>647897.64</v>
      </c>
      <c r="H11" s="22">
        <f t="shared" si="1"/>
        <v>74427.308958586029</v>
      </c>
      <c r="I11" s="22">
        <f t="shared" si="3"/>
        <v>573470.33104141394</v>
      </c>
    </row>
    <row r="12" spans="1:9" ht="15.75" customHeight="1" x14ac:dyDescent="0.25">
      <c r="A12" s="7">
        <f t="shared" si="2"/>
        <v>2027</v>
      </c>
      <c r="B12" s="77">
        <v>64844</v>
      </c>
      <c r="C12" s="78">
        <v>123498.18000000001</v>
      </c>
      <c r="D12" s="78">
        <v>223073.76</v>
      </c>
      <c r="E12" s="78">
        <v>174453.76000000001</v>
      </c>
      <c r="F12" s="78">
        <v>138694.66</v>
      </c>
      <c r="G12" s="22">
        <f t="shared" si="0"/>
        <v>659720.36</v>
      </c>
      <c r="H12" s="22">
        <f t="shared" si="1"/>
        <v>74907.872696817416</v>
      </c>
      <c r="I12" s="22">
        <f t="shared" si="3"/>
        <v>584812.4873031826</v>
      </c>
    </row>
    <row r="13" spans="1:9" ht="15.75" customHeight="1" x14ac:dyDescent="0.25">
      <c r="A13" s="7">
        <f t="shared" si="2"/>
        <v>2028</v>
      </c>
      <c r="B13" s="77">
        <v>65260</v>
      </c>
      <c r="C13" s="78">
        <v>124470.32</v>
      </c>
      <c r="D13" s="78">
        <v>226497.96000000002</v>
      </c>
      <c r="E13" s="78">
        <v>179149.36000000002</v>
      </c>
      <c r="F13" s="78">
        <v>141287.38</v>
      </c>
      <c r="G13" s="22">
        <f t="shared" si="0"/>
        <v>671405.02</v>
      </c>
      <c r="H13" s="22">
        <f t="shared" si="1"/>
        <v>75388.436435048818</v>
      </c>
      <c r="I13" s="22">
        <f t="shared" si="3"/>
        <v>596016.5835649512</v>
      </c>
    </row>
    <row r="14" spans="1:9" ht="15.75" customHeight="1" x14ac:dyDescent="0.25">
      <c r="A14" s="7">
        <f t="shared" si="2"/>
        <v>2029</v>
      </c>
      <c r="B14" s="77">
        <v>65676</v>
      </c>
      <c r="C14" s="78">
        <v>125463.78</v>
      </c>
      <c r="D14" s="78">
        <v>229710</v>
      </c>
      <c r="E14" s="78">
        <v>183963</v>
      </c>
      <c r="F14" s="78">
        <v>143866.84000000003</v>
      </c>
      <c r="G14" s="22">
        <f t="shared" si="0"/>
        <v>683003.62000000011</v>
      </c>
      <c r="H14" s="22">
        <f t="shared" si="1"/>
        <v>75869.00017328019</v>
      </c>
      <c r="I14" s="22">
        <f t="shared" si="3"/>
        <v>607134.61982671986</v>
      </c>
    </row>
    <row r="15" spans="1:9" ht="15.75" customHeight="1" x14ac:dyDescent="0.25">
      <c r="A15" s="7">
        <f t="shared" si="2"/>
        <v>2030</v>
      </c>
      <c r="B15" s="77">
        <v>66092</v>
      </c>
      <c r="C15" s="78">
        <v>126545.12000000001</v>
      </c>
      <c r="D15" s="78">
        <v>232750.18000000002</v>
      </c>
      <c r="E15" s="78">
        <v>188758.96000000005</v>
      </c>
      <c r="F15" s="78">
        <v>146489.72</v>
      </c>
      <c r="G15" s="22">
        <f t="shared" si="0"/>
        <v>694543.9800000001</v>
      </c>
      <c r="H15" s="22">
        <f t="shared" si="1"/>
        <v>76349.563911511592</v>
      </c>
      <c r="I15" s="22">
        <f t="shared" si="3"/>
        <v>618194.41608848854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8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16:I40 G2:I15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2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2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2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2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2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2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2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2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2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2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2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2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2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2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2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2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2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2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2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2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2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2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2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2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2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2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2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2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2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2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2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2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2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2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2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2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2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2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2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2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2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2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2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2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2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20"/>
  <sheetViews>
    <sheetView workbookViewId="0">
      <selection activeCell="F8" sqref="F8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0.15</v>
      </c>
      <c r="D4" s="141">
        <v>0.15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0.15</v>
      </c>
      <c r="D6" s="141">
        <v>0.15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0.23</v>
      </c>
      <c r="D12" s="141">
        <v>0.23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28"/>
  <sheetViews>
    <sheetView topLeftCell="G1" workbookViewId="0">
      <selection activeCell="F8" sqref="F8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</v>
      </c>
      <c r="F20" s="141">
        <v>0.9</v>
      </c>
      <c r="G20" s="141">
        <v>0.9</v>
      </c>
      <c r="H20" s="141">
        <v>0.9</v>
      </c>
      <c r="I20" s="141">
        <v>0.9</v>
      </c>
      <c r="J20" s="141">
        <v>0.9</v>
      </c>
      <c r="K20" s="141">
        <v>0.9</v>
      </c>
      <c r="L20" s="141">
        <v>0.9</v>
      </c>
      <c r="M20" s="141">
        <v>0.9</v>
      </c>
      <c r="N20" s="141">
        <v>0.9</v>
      </c>
      <c r="O20" s="14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5"/>
  <sheetViews>
    <sheetView workbookViewId="0">
      <selection activeCell="F8" sqref="F8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0.21</v>
      </c>
      <c r="E3" s="141">
        <v>0.21</v>
      </c>
      <c r="F3" s="141">
        <v>0.21</v>
      </c>
      <c r="G3" s="141">
        <v>0.21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0.14299999999999999</v>
      </c>
      <c r="E5" s="141">
        <v>0.14299999999999999</v>
      </c>
      <c r="F5" s="141">
        <v>0.14299999999999999</v>
      </c>
      <c r="G5" s="141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0.53134328358208949</v>
      </c>
      <c r="G3" s="141">
        <v>0.53134328358208949</v>
      </c>
      <c r="H3" s="141">
        <v>0.53134328358208949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0.38507462686567184</v>
      </c>
      <c r="G4" s="141">
        <v>0.38507462686567184</v>
      </c>
      <c r="H4" s="141">
        <v>0.38507462686567184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0.33500000000000002</v>
      </c>
      <c r="G13" s="141">
        <v>0.33500000000000002</v>
      </c>
      <c r="H13" s="141">
        <v>0.33500000000000002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0.7</v>
      </c>
      <c r="G14" s="141">
        <v>0.62</v>
      </c>
      <c r="H14" s="141">
        <v>0.62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0.33500000000000002</v>
      </c>
      <c r="G15" s="141">
        <v>0.33500000000000002</v>
      </c>
      <c r="H15" s="141">
        <v>0.33500000000000002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0.84</v>
      </c>
      <c r="G16" s="141">
        <v>0.62</v>
      </c>
      <c r="H16" s="141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0.46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0.46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0.46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0.49</v>
      </c>
      <c r="E42" s="141">
        <v>0.49</v>
      </c>
      <c r="F42" s="141">
        <v>0.49</v>
      </c>
      <c r="G42" s="141">
        <v>0.49</v>
      </c>
      <c r="H42" s="141">
        <v>0.49</v>
      </c>
    </row>
    <row r="43" spans="1:8" x14ac:dyDescent="0.25">
      <c r="C43" s="52" t="s">
        <v>270</v>
      </c>
      <c r="D43" s="141">
        <v>0.52</v>
      </c>
      <c r="E43" s="141">
        <v>0.52</v>
      </c>
      <c r="F43" s="141">
        <v>0.52</v>
      </c>
      <c r="G43" s="141">
        <v>0.52</v>
      </c>
      <c r="H43" s="141">
        <v>0.52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0.93</v>
      </c>
      <c r="E45" s="141">
        <v>0.93</v>
      </c>
      <c r="F45" s="141">
        <v>0.93</v>
      </c>
      <c r="G45" s="141">
        <v>0.93</v>
      </c>
      <c r="H45" s="141">
        <v>0.93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0.86</v>
      </c>
      <c r="E47" s="141">
        <v>0.86</v>
      </c>
      <c r="F47" s="141">
        <v>0.86</v>
      </c>
      <c r="G47" s="141">
        <v>0.86</v>
      </c>
      <c r="H47" s="141">
        <v>0.86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0.57999999999999996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0.51</v>
      </c>
      <c r="E49" s="141">
        <v>0.51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H7"/>
  <sheetViews>
    <sheetView workbookViewId="0">
      <selection activeCell="F8" sqref="F8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0.6</v>
      </c>
      <c r="E7" s="141">
        <v>0.6</v>
      </c>
      <c r="F7" s="141">
        <v>0.6</v>
      </c>
      <c r="G7" s="141">
        <v>0.6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600"/>
  </sheetPr>
  <dimension ref="A1:H35"/>
  <sheetViews>
    <sheetView zoomScale="115" zoomScaleNormal="115" workbookViewId="0">
      <selection activeCell="C14" sqref="C14:F22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0.02</v>
      </c>
    </row>
    <row r="4" spans="1:8" ht="15.75" customHeight="1" x14ac:dyDescent="0.25">
      <c r="B4" s="24" t="s">
        <v>7</v>
      </c>
      <c r="C4" s="79">
        <v>0.49580000000000002</v>
      </c>
    </row>
    <row r="5" spans="1:8" ht="15.75" customHeight="1" x14ac:dyDescent="0.25">
      <c r="B5" s="24" t="s">
        <v>8</v>
      </c>
      <c r="C5" s="79">
        <v>6.1100000000000002E-2</v>
      </c>
    </row>
    <row r="6" spans="1:8" ht="15.75" customHeight="1" x14ac:dyDescent="0.25">
      <c r="B6" s="24" t="s">
        <v>10</v>
      </c>
      <c r="C6" s="79">
        <v>0.39700000000000002</v>
      </c>
    </row>
    <row r="7" spans="1:8" ht="15.75" customHeight="1" x14ac:dyDescent="0.25">
      <c r="B7" s="24" t="s">
        <v>13</v>
      </c>
      <c r="C7" s="79">
        <v>0.02</v>
      </c>
    </row>
    <row r="8" spans="1:8" ht="15.75" customHeight="1" x14ac:dyDescent="0.25">
      <c r="B8" s="24" t="s">
        <v>14</v>
      </c>
      <c r="C8" s="79">
        <v>0</v>
      </c>
    </row>
    <row r="9" spans="1:8" ht="15.75" customHeight="1" x14ac:dyDescent="0.25">
      <c r="B9" s="24" t="s">
        <v>27</v>
      </c>
      <c r="C9" s="79">
        <v>0</v>
      </c>
    </row>
    <row r="10" spans="1:8" ht="15.75" customHeight="1" x14ac:dyDescent="0.25">
      <c r="B10" s="24" t="s">
        <v>15</v>
      </c>
      <c r="C10" s="79">
        <v>6.1000000000000004E-3</v>
      </c>
    </row>
    <row r="11" spans="1:8" ht="15.75" customHeight="1" x14ac:dyDescent="0.25">
      <c r="B11" s="32" t="s">
        <v>129</v>
      </c>
      <c r="C11" s="74">
        <f>SUM(C3:C10)</f>
        <v>1.0000000000000002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6.7466266866566718E-2</v>
      </c>
      <c r="D14" s="79">
        <v>6.7466266866566718E-2</v>
      </c>
      <c r="E14" s="79">
        <v>6.7466266866566718E-2</v>
      </c>
      <c r="F14" s="79">
        <v>6.7466266866566718E-2</v>
      </c>
    </row>
    <row r="15" spans="1:8" ht="15.75" customHeight="1" x14ac:dyDescent="0.25">
      <c r="B15" s="24" t="s">
        <v>16</v>
      </c>
      <c r="C15" s="79">
        <v>0.24187906046976512</v>
      </c>
      <c r="D15" s="79">
        <v>0.24187906046976512</v>
      </c>
      <c r="E15" s="79">
        <v>0.24187906046976512</v>
      </c>
      <c r="F15" s="79">
        <v>0.24187906046976512</v>
      </c>
    </row>
    <row r="16" spans="1:8" ht="15.75" customHeight="1" x14ac:dyDescent="0.25">
      <c r="B16" s="24" t="s">
        <v>17</v>
      </c>
      <c r="C16" s="79">
        <v>6.7966016991504244E-2</v>
      </c>
      <c r="D16" s="79">
        <v>6.7966016991504244E-2</v>
      </c>
      <c r="E16" s="79">
        <v>6.7966016991504244E-2</v>
      </c>
      <c r="F16" s="79">
        <v>6.7966016991504244E-2</v>
      </c>
    </row>
    <row r="17" spans="1:8" ht="15.75" customHeight="1" x14ac:dyDescent="0.25">
      <c r="B17" s="24" t="s">
        <v>18</v>
      </c>
      <c r="C17" s="79">
        <v>0</v>
      </c>
      <c r="D17" s="79">
        <v>0</v>
      </c>
      <c r="E17" s="79">
        <v>0</v>
      </c>
      <c r="F17" s="79">
        <v>0</v>
      </c>
    </row>
    <row r="18" spans="1:8" ht="15.75" customHeight="1" x14ac:dyDescent="0.25">
      <c r="B18" s="24" t="s">
        <v>19</v>
      </c>
      <c r="C18" s="79">
        <v>2.2488755622188907E-2</v>
      </c>
      <c r="D18" s="79">
        <v>2.2488755622188907E-2</v>
      </c>
      <c r="E18" s="79">
        <v>2.2488755622188907E-2</v>
      </c>
      <c r="F18" s="79">
        <v>2.2488755622188907E-2</v>
      </c>
    </row>
    <row r="19" spans="1:8" ht="15.75" customHeight="1" x14ac:dyDescent="0.25">
      <c r="B19" s="24" t="s">
        <v>20</v>
      </c>
      <c r="C19" s="79">
        <v>0</v>
      </c>
      <c r="D19" s="79">
        <v>0</v>
      </c>
      <c r="E19" s="79">
        <v>0</v>
      </c>
      <c r="F19" s="79">
        <v>0</v>
      </c>
    </row>
    <row r="20" spans="1:8" ht="15.75" customHeight="1" x14ac:dyDescent="0.25">
      <c r="B20" s="24" t="s">
        <v>21</v>
      </c>
      <c r="C20" s="79">
        <v>4.0479760119940027E-2</v>
      </c>
      <c r="D20" s="79">
        <v>4.0479760119940027E-2</v>
      </c>
      <c r="E20" s="79">
        <v>4.0479760119940027E-2</v>
      </c>
      <c r="F20" s="79">
        <v>4.0479760119940027E-2</v>
      </c>
    </row>
    <row r="21" spans="1:8" ht="15.75" customHeight="1" x14ac:dyDescent="0.25">
      <c r="B21" s="24" t="s">
        <v>22</v>
      </c>
      <c r="C21" s="79">
        <v>8.4957521239380305E-3</v>
      </c>
      <c r="D21" s="79">
        <v>8.4957521239380305E-3</v>
      </c>
      <c r="E21" s="79">
        <v>8.4957521239380305E-3</v>
      </c>
      <c r="F21" s="79">
        <v>8.4957521239380305E-3</v>
      </c>
    </row>
    <row r="22" spans="1:8" ht="15.75" customHeight="1" x14ac:dyDescent="0.25">
      <c r="B22" s="24" t="s">
        <v>23</v>
      </c>
      <c r="C22" s="79">
        <v>0.55122438780609695</v>
      </c>
      <c r="D22" s="79">
        <v>0.55122438780609695</v>
      </c>
      <c r="E22" s="79">
        <v>0.55122438780609695</v>
      </c>
      <c r="F22" s="79">
        <v>0.55122438780609695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4.7899999999999998E-2</v>
      </c>
    </row>
    <row r="27" spans="1:8" ht="15.75" customHeight="1" x14ac:dyDescent="0.25">
      <c r="B27" s="24" t="s">
        <v>39</v>
      </c>
      <c r="C27" s="79">
        <v>1.89E-2</v>
      </c>
    </row>
    <row r="28" spans="1:8" ht="15.75" customHeight="1" x14ac:dyDescent="0.25">
      <c r="B28" s="24" t="s">
        <v>40</v>
      </c>
      <c r="C28" s="79">
        <v>0.22969999999999999</v>
      </c>
    </row>
    <row r="29" spans="1:8" ht="15.75" customHeight="1" x14ac:dyDescent="0.25">
      <c r="B29" s="24" t="s">
        <v>41</v>
      </c>
      <c r="C29" s="79">
        <v>0.13800000000000001</v>
      </c>
    </row>
    <row r="30" spans="1:8" ht="15.75" customHeight="1" x14ac:dyDescent="0.25">
      <c r="B30" s="24" t="s">
        <v>42</v>
      </c>
      <c r="C30" s="79">
        <v>0.05</v>
      </c>
    </row>
    <row r="31" spans="1:8" ht="15.75" customHeight="1" x14ac:dyDescent="0.25">
      <c r="B31" s="24" t="s">
        <v>43</v>
      </c>
      <c r="C31" s="79">
        <v>7.0400000000000004E-2</v>
      </c>
    </row>
    <row r="32" spans="1:8" ht="15.75" customHeight="1" x14ac:dyDescent="0.25">
      <c r="B32" s="24" t="s">
        <v>44</v>
      </c>
      <c r="C32" s="79">
        <v>0.14729999999999999</v>
      </c>
    </row>
    <row r="33" spans="2:3" ht="15.75" customHeight="1" x14ac:dyDescent="0.25">
      <c r="B33" s="24" t="s">
        <v>45</v>
      </c>
      <c r="C33" s="79">
        <v>0.1241</v>
      </c>
    </row>
    <row r="34" spans="2:3" ht="15.75" customHeight="1" x14ac:dyDescent="0.25">
      <c r="B34" s="24" t="s">
        <v>46</v>
      </c>
      <c r="C34" s="79">
        <v>0.1744</v>
      </c>
    </row>
    <row r="35" spans="2:3" ht="15.75" customHeight="1" x14ac:dyDescent="0.25">
      <c r="B35" s="32" t="s">
        <v>129</v>
      </c>
      <c r="C35" s="74">
        <f>SUM(C26:C34)</f>
        <v>1.0006999999999999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zoomScaleNormal="100" workbookViewId="0">
      <selection activeCell="M14" sqref="M14:O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0.28676972074059759</v>
      </c>
      <c r="D2" s="80">
        <v>0.28676972074059759</v>
      </c>
      <c r="E2" s="80">
        <v>0.2072549726175611</v>
      </c>
      <c r="F2" s="80">
        <v>0.2072549726175611</v>
      </c>
      <c r="G2" s="80">
        <v>0.13888802845392134</v>
      </c>
    </row>
    <row r="3" spans="1:15" ht="15.75" customHeight="1" x14ac:dyDescent="0.25">
      <c r="A3" s="5"/>
      <c r="B3" s="11" t="s">
        <v>118</v>
      </c>
      <c r="C3" s="80">
        <v>0.38223027925940245</v>
      </c>
      <c r="D3" s="80">
        <v>0.38223027925940245</v>
      </c>
      <c r="E3" s="80">
        <v>0.36574502738243886</v>
      </c>
      <c r="F3" s="80">
        <v>0.36574502738243886</v>
      </c>
      <c r="G3" s="80">
        <v>0.32711197154607874</v>
      </c>
    </row>
    <row r="4" spans="1:15" ht="15.75" customHeight="1" x14ac:dyDescent="0.25">
      <c r="A4" s="5"/>
      <c r="B4" s="11" t="s">
        <v>116</v>
      </c>
      <c r="C4" s="81">
        <v>0.26414238410596025</v>
      </c>
      <c r="D4" s="81">
        <v>0.26327062706270626</v>
      </c>
      <c r="E4" s="81">
        <v>0.34075165562913912</v>
      </c>
      <c r="F4" s="81">
        <v>0.29982253086419758</v>
      </c>
      <c r="G4" s="81">
        <v>0.38021971659302145</v>
      </c>
    </row>
    <row r="5" spans="1:15" ht="15.75" customHeight="1" x14ac:dyDescent="0.25">
      <c r="A5" s="5"/>
      <c r="B5" s="11" t="s">
        <v>119</v>
      </c>
      <c r="C5" s="81">
        <v>6.685761589403974E-2</v>
      </c>
      <c r="D5" s="81">
        <v>6.7729372937293725E-2</v>
      </c>
      <c r="E5" s="81">
        <v>8.624834437086093E-2</v>
      </c>
      <c r="F5" s="81">
        <v>0.12717746913580247</v>
      </c>
      <c r="G5" s="81">
        <v>0.1537802834069785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0.37478626030093787</v>
      </c>
      <c r="D8" s="80">
        <v>0.37478626030093787</v>
      </c>
      <c r="E8" s="80">
        <v>0.38572566197362745</v>
      </c>
      <c r="F8" s="80">
        <v>0.38572566197362745</v>
      </c>
      <c r="G8" s="80">
        <v>0.51796615273005697</v>
      </c>
    </row>
    <row r="9" spans="1:15" ht="15.75" customHeight="1" x14ac:dyDescent="0.25">
      <c r="B9" s="7" t="s">
        <v>121</v>
      </c>
      <c r="C9" s="80">
        <v>0.37721373969906213</v>
      </c>
      <c r="D9" s="80">
        <v>0.37721373969906213</v>
      </c>
      <c r="E9" s="80">
        <v>0.37527433802637256</v>
      </c>
      <c r="F9" s="80">
        <v>0.37527433802637256</v>
      </c>
      <c r="G9" s="80">
        <v>0.33403384726994301</v>
      </c>
    </row>
    <row r="10" spans="1:15" ht="15.75" customHeight="1" x14ac:dyDescent="0.25">
      <c r="B10" s="7" t="s">
        <v>122</v>
      </c>
      <c r="C10" s="81">
        <v>0.248</v>
      </c>
      <c r="D10" s="81">
        <v>0.248</v>
      </c>
      <c r="E10" s="81">
        <v>0.23899999999999999</v>
      </c>
      <c r="F10" s="81">
        <v>0.20241836734693877</v>
      </c>
      <c r="G10" s="81">
        <v>0.11343421052631579</v>
      </c>
    </row>
    <row r="11" spans="1:15" ht="15.75" customHeight="1" x14ac:dyDescent="0.25">
      <c r="B11" s="7" t="s">
        <v>123</v>
      </c>
      <c r="C11" s="81">
        <v>0</v>
      </c>
      <c r="D11" s="81">
        <v>0</v>
      </c>
      <c r="E11" s="81">
        <v>0</v>
      </c>
      <c r="F11" s="81">
        <v>3.6581632653061219E-2</v>
      </c>
      <c r="G11" s="81">
        <v>3.4565789473684209E-2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0.67500000000000004</v>
      </c>
      <c r="D14" s="82">
        <v>0.67500000000000004</v>
      </c>
      <c r="E14" s="82">
        <v>0.67500000000000004</v>
      </c>
      <c r="F14" s="82">
        <v>0.67500000000000004</v>
      </c>
      <c r="G14" s="82">
        <v>0.67500000000000004</v>
      </c>
      <c r="H14" s="83">
        <v>0.44800000000000001</v>
      </c>
      <c r="I14" s="83">
        <v>0.44800000000000001</v>
      </c>
      <c r="J14" s="83">
        <v>0.44800000000000001</v>
      </c>
      <c r="K14" s="83">
        <v>0.44800000000000001</v>
      </c>
      <c r="L14" s="83">
        <v>0.59799999999999998</v>
      </c>
      <c r="M14" s="83">
        <v>0.59799999999999998</v>
      </c>
      <c r="N14" s="83">
        <v>0.59799999999999998</v>
      </c>
      <c r="O14" s="83">
        <v>0.59799999999999998</v>
      </c>
    </row>
    <row r="15" spans="1:15" ht="15.75" customHeight="1" x14ac:dyDescent="0.25">
      <c r="B15" s="16" t="s">
        <v>68</v>
      </c>
      <c r="C15" s="80">
        <f t="shared" ref="C15:O15" si="0">iron_deficiency_anaemia*C14</f>
        <v>0.18724499999999999</v>
      </c>
      <c r="D15" s="80">
        <f t="shared" si="0"/>
        <v>0.18724499999999999</v>
      </c>
      <c r="E15" s="80">
        <f t="shared" si="0"/>
        <v>0.18724499999999999</v>
      </c>
      <c r="F15" s="80">
        <f t="shared" si="0"/>
        <v>0.18724499999999999</v>
      </c>
      <c r="G15" s="80">
        <f t="shared" si="0"/>
        <v>0.18724499999999999</v>
      </c>
      <c r="H15" s="80">
        <f t="shared" si="0"/>
        <v>0.12427519999999999</v>
      </c>
      <c r="I15" s="80">
        <f t="shared" si="0"/>
        <v>0.12427519999999999</v>
      </c>
      <c r="J15" s="80">
        <f t="shared" si="0"/>
        <v>0.12427519999999999</v>
      </c>
      <c r="K15" s="80">
        <f t="shared" si="0"/>
        <v>0.12427519999999999</v>
      </c>
      <c r="L15" s="80">
        <f t="shared" si="0"/>
        <v>0.16588519999999998</v>
      </c>
      <c r="M15" s="80">
        <f t="shared" si="0"/>
        <v>0.16588519999999998</v>
      </c>
      <c r="N15" s="80">
        <f t="shared" si="0"/>
        <v>0.16588519999999998</v>
      </c>
      <c r="O15" s="80">
        <f t="shared" si="0"/>
        <v>0.16588519999999998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C2" sqref="C2:G5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0.81899999999999995</v>
      </c>
      <c r="D2" s="81">
        <v>0.47723684210526324</v>
      </c>
      <c r="E2" s="81">
        <v>0.14899999999999999</v>
      </c>
      <c r="F2" s="81">
        <v>6.3E-2</v>
      </c>
      <c r="G2" s="81">
        <v>1.7999999999999999E-2</v>
      </c>
    </row>
    <row r="3" spans="1:7" x14ac:dyDescent="0.25">
      <c r="B3" s="43" t="s">
        <v>167</v>
      </c>
      <c r="C3" s="81">
        <v>2.2400990099009921E-2</v>
      </c>
      <c r="D3" s="81">
        <v>4.0062223315297588E-2</v>
      </c>
      <c r="E3" s="81">
        <v>4.1000000000000002E-2</v>
      </c>
      <c r="F3" s="81">
        <v>3.4000000000000002E-2</v>
      </c>
      <c r="G3" s="81">
        <v>8.9999999999999993E-3</v>
      </c>
    </row>
    <row r="4" spans="1:7" x14ac:dyDescent="0.25">
      <c r="B4" s="43" t="s">
        <v>168</v>
      </c>
      <c r="C4" s="81">
        <v>0.13082178217821791</v>
      </c>
      <c r="D4" s="81">
        <v>0.44263871126414162</v>
      </c>
      <c r="E4" s="81">
        <v>0.80191512513601748</v>
      </c>
      <c r="F4" s="81">
        <v>0.82032844884978007</v>
      </c>
      <c r="G4" s="81">
        <v>0.40899999999999997</v>
      </c>
    </row>
    <row r="5" spans="1:7" x14ac:dyDescent="0.25">
      <c r="B5" s="43" t="s">
        <v>169</v>
      </c>
      <c r="C5" s="80">
        <v>2.7777227722772226E-2</v>
      </c>
      <c r="D5" s="80">
        <v>4.0062223315297518E-2</v>
      </c>
      <c r="E5" s="80">
        <v>8.0848748639825718E-3</v>
      </c>
      <c r="F5" s="80">
        <v>8.2671551150219957E-2</v>
      </c>
      <c r="G5" s="80">
        <v>0.56400000000000006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P14"/>
  <sheetViews>
    <sheetView tabSelected="1" topLeftCell="C1" zoomScale="115" zoomScaleNormal="115" workbookViewId="0">
      <selection activeCell="P7" sqref="P7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f>(('Nutritional status distribution'!C4+'Nutritional status distribution'!C5)*(1/60)+('Nutritional status distribution'!D4+'Nutritional status distribution'!D5)*(5/60)+('Nutritional status distribution'!E4+'Nutritional status distribution'!E5)*(6/60)+('Nutritional status distribution'!F4+'Nutritional status distribution'!F5)*(12/60)+('Nutritional status distribution'!G4+'Nutritional status distribution'!G5)*(36/60))</f>
        <v>0.48159999999999997</v>
      </c>
      <c r="D2" s="28"/>
      <c r="E2" s="28"/>
      <c r="F2" s="28"/>
      <c r="G2" s="28"/>
      <c r="H2" s="28"/>
      <c r="I2" s="28">
        <v>0.47</v>
      </c>
      <c r="J2" s="28"/>
      <c r="K2" s="28"/>
      <c r="L2" s="28"/>
      <c r="M2" s="28"/>
      <c r="N2" s="28"/>
      <c r="O2" s="28"/>
      <c r="P2" s="28">
        <v>0.46300000000000002</v>
      </c>
    </row>
    <row r="3" spans="1:16" x14ac:dyDescent="0.25">
      <c r="B3" s="14"/>
    </row>
    <row r="4" spans="1:16" x14ac:dyDescent="0.25">
      <c r="A4" t="s">
        <v>140</v>
      </c>
      <c r="B4" s="14" t="s">
        <v>143</v>
      </c>
      <c r="C4" s="28">
        <f>(('Nutritional status distribution'!C10+'Nutritional status distribution'!C11)*(1/60)+('Nutritional status distribution'!D10+'Nutritional status distribution'!D11)*(5/60)+('Nutritional status distribution'!E10+'Nutritional status distribution'!E11)*(6/60)+('Nutritional status distribution'!F10+'Nutritional status distribution'!F11)*(12/60)+('Nutritional status distribution'!G10+'Nutritional status distribution'!G11)*(36/60))</f>
        <v>0.18529999999999999</v>
      </c>
      <c r="D4" s="28"/>
      <c r="E4" s="28"/>
      <c r="F4" s="28"/>
      <c r="G4" s="28"/>
      <c r="H4" s="28"/>
      <c r="I4" s="28"/>
      <c r="J4" s="28"/>
      <c r="K4" s="28">
        <v>0.17399999999999999</v>
      </c>
      <c r="L4" s="28"/>
      <c r="M4" s="28"/>
      <c r="N4" s="28"/>
      <c r="O4" s="28"/>
      <c r="P4" s="28">
        <v>0.17</v>
      </c>
    </row>
    <row r="5" spans="1:16" x14ac:dyDescent="0.25">
      <c r="B5" s="14"/>
    </row>
    <row r="6" spans="1:16" x14ac:dyDescent="0.25">
      <c r="A6" t="s">
        <v>141</v>
      </c>
      <c r="B6" s="14" t="s">
        <v>143</v>
      </c>
      <c r="C6" s="28">
        <f>'Nutritional status distribution'!C15*(1/60)+'Nutritional status distribution'!D15*(5/60)+'Nutritional status distribution'!E15*(6/60)+'Nutritional status distribution'!F15*(12/60)+'Nutritional status distribution'!G15*(24/60)</f>
        <v>0.14979599999999998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0.13</v>
      </c>
    </row>
    <row r="7" spans="1:16" x14ac:dyDescent="0.25">
      <c r="B7" s="14" t="s">
        <v>32</v>
      </c>
      <c r="C7" s="28">
        <f>('Nutritional status distribution'!H15*('Demographic projections'!C2/SUM('Demographic projections'!C2:F2))+'Nutritional status distribution'!I15*('Demographic projections'!D2/SUM('Demographic projections'!C2:F2))+'Nutritional status distribution'!J15*('Demographic projections'!E2/SUM('Demographic projections'!C2:F2))+'Nutritional status distribution'!K15*('Demographic projections'!F2/SUM('Demographic projections'!C2:F2)))</f>
        <v>0.12427519999999997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8.2000000000000003E-2</v>
      </c>
    </row>
    <row r="8" spans="1:16" x14ac:dyDescent="0.25">
      <c r="B8" s="14" t="s">
        <v>144</v>
      </c>
      <c r="C8" s="28">
        <f>('Nutritional status distribution'!L15*('Demographic projections'!C2/SUM('Demographic projections'!C2:F2))+'Nutritional status distribution'!M15*('Demographic projections'!D2/SUM('Demographic projections'!C2:F2))+'Nutritional status distribution'!N15*('Demographic projections'!E2/SUM('Demographic projections'!C2:F2))+'Nutritional status distribution'!O15*('Demographic projections'!F2/SUM('Demographic projections'!C2:F2)))</f>
        <v>0.16588519999999998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0.13</v>
      </c>
    </row>
    <row r="10" spans="1:16" x14ac:dyDescent="0.25">
      <c r="A10" t="s">
        <v>142</v>
      </c>
      <c r="B10" s="16" t="s">
        <v>147</v>
      </c>
      <c r="C10" s="28">
        <f>('Breastfeeding distribution'!C2*(1/6)+'Breastfeeding distribution'!D2*(5/6))</f>
        <v>0.5341973684210527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>
        <v>0.55300000000000005</v>
      </c>
    </row>
    <row r="11" spans="1:16" x14ac:dyDescent="0.25">
      <c r="B11" s="34" t="s">
        <v>146</v>
      </c>
      <c r="C11" s="28">
        <f>(('Breastfeeding distribution'!E4)*(6/18)+('Breastfeeding distribution'!F4)*(12/18))</f>
        <v>0.81419067427852587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0.83</v>
      </c>
    </row>
    <row r="13" spans="1:16" x14ac:dyDescent="0.25">
      <c r="A13" s="12" t="s">
        <v>74</v>
      </c>
      <c r="B13" s="34" t="s">
        <v>148</v>
      </c>
      <c r="C13" s="28">
        <f>(neonatal_mortality*(1/60)+infant_mortality*(11/60)+U5_mortality*(48/60))/1000</f>
        <v>5.4231666666666671E-2</v>
      </c>
      <c r="D13" s="28"/>
      <c r="E13" s="28"/>
      <c r="F13" s="28"/>
      <c r="G13" s="28"/>
      <c r="H13" s="28"/>
      <c r="I13" s="28"/>
      <c r="J13" s="28"/>
      <c r="K13" s="28">
        <v>5.1999999999999998E-2</v>
      </c>
      <c r="L13" s="28"/>
      <c r="M13" s="28"/>
      <c r="N13" s="28"/>
      <c r="O13" s="28"/>
      <c r="P13" s="28">
        <v>0.05</v>
      </c>
    </row>
    <row r="14" spans="1:16" x14ac:dyDescent="0.25">
      <c r="B14" s="16" t="s">
        <v>170</v>
      </c>
      <c r="C14" s="28">
        <f>maternal_mortality/1000</f>
        <v>5.0000000000000001E-3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3.0000000000000001E-3</v>
      </c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F39"/>
  <sheetViews>
    <sheetView workbookViewId="0">
      <selection activeCell="E2" sqref="E2:E38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28.02</v>
      </c>
      <c r="E2" s="86" t="s">
        <v>203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10.27</v>
      </c>
      <c r="E3" s="86" t="s">
        <v>203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63.27</v>
      </c>
      <c r="E4" s="86" t="s">
        <v>203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1</v>
      </c>
      <c r="E5" s="86" t="s">
        <v>203</v>
      </c>
    </row>
    <row r="6" spans="1:5" ht="15.75" customHeight="1" x14ac:dyDescent="0.25">
      <c r="A6" s="52" t="s">
        <v>198</v>
      </c>
      <c r="B6" s="85">
        <v>0.38700000000000001</v>
      </c>
      <c r="C6" s="85">
        <v>0.95</v>
      </c>
      <c r="D6" s="86">
        <v>1</v>
      </c>
      <c r="E6" s="86" t="s">
        <v>203</v>
      </c>
    </row>
    <row r="7" spans="1:5" ht="15.75" customHeight="1" x14ac:dyDescent="0.25">
      <c r="A7" s="52" t="s">
        <v>63</v>
      </c>
      <c r="B7" s="85">
        <v>0</v>
      </c>
      <c r="C7" s="85">
        <v>0.95</v>
      </c>
      <c r="D7" s="86">
        <v>0.16</v>
      </c>
      <c r="E7" s="86" t="s">
        <v>203</v>
      </c>
    </row>
    <row r="8" spans="1:5" ht="15.75" customHeight="1" x14ac:dyDescent="0.25">
      <c r="A8" s="52" t="s">
        <v>64</v>
      </c>
      <c r="B8" s="85">
        <v>0</v>
      </c>
      <c r="C8" s="85">
        <v>0.95</v>
      </c>
      <c r="D8" s="86">
        <v>1.47</v>
      </c>
      <c r="E8" s="86" t="s">
        <v>203</v>
      </c>
    </row>
    <row r="9" spans="1:5" ht="15.75" customHeight="1" x14ac:dyDescent="0.25">
      <c r="A9" s="52" t="s">
        <v>62</v>
      </c>
      <c r="B9" s="85">
        <v>0</v>
      </c>
      <c r="C9" s="85">
        <v>0.95</v>
      </c>
      <c r="D9" s="86">
        <v>0.21</v>
      </c>
      <c r="E9" s="86" t="s">
        <v>203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0.28999999999999998</v>
      </c>
      <c r="E10" s="86" t="s">
        <v>203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2.15</v>
      </c>
      <c r="E11" s="86" t="s">
        <v>203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0.25</v>
      </c>
      <c r="E12" s="86" t="s">
        <v>203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0.65</v>
      </c>
      <c r="E13" s="86" t="s">
        <v>203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0.73</v>
      </c>
      <c r="E14" s="86" t="s">
        <v>203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1.78</v>
      </c>
      <c r="E15" s="86" t="s">
        <v>203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2.27</v>
      </c>
      <c r="E16" s="86" t="s">
        <v>203</v>
      </c>
    </row>
    <row r="17" spans="1:5" ht="15.75" customHeight="1" x14ac:dyDescent="0.25">
      <c r="A17" s="52" t="s">
        <v>47</v>
      </c>
      <c r="B17" s="85">
        <v>0</v>
      </c>
      <c r="C17" s="85">
        <v>0.95</v>
      </c>
      <c r="D17" s="86">
        <v>0.25</v>
      </c>
      <c r="E17" s="86" t="s">
        <v>203</v>
      </c>
    </row>
    <row r="18" spans="1:5" ht="16" customHeight="1" x14ac:dyDescent="0.25">
      <c r="A18" s="52" t="s">
        <v>173</v>
      </c>
      <c r="B18" s="85">
        <v>0.57099999999999995</v>
      </c>
      <c r="C18" s="85">
        <v>0.95</v>
      </c>
      <c r="D18" s="87">
        <v>5.66</v>
      </c>
      <c r="E18" s="86" t="s">
        <v>203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5.66</v>
      </c>
      <c r="E19" s="86" t="s">
        <v>203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5.66</v>
      </c>
      <c r="E20" s="86" t="s">
        <v>203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8.84</v>
      </c>
      <c r="E21" s="86" t="s">
        <v>203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50</v>
      </c>
      <c r="E22" s="86" t="s">
        <v>203</v>
      </c>
    </row>
    <row r="23" spans="1:5" ht="15.75" customHeight="1" x14ac:dyDescent="0.25">
      <c r="A23" s="52" t="s">
        <v>34</v>
      </c>
      <c r="B23" s="85">
        <v>0.59499999999999997</v>
      </c>
      <c r="C23" s="85">
        <v>0.95</v>
      </c>
      <c r="D23" s="86">
        <v>2.61</v>
      </c>
      <c r="E23" s="86" t="s">
        <v>203</v>
      </c>
    </row>
    <row r="24" spans="1:5" ht="15.75" customHeight="1" x14ac:dyDescent="0.25">
      <c r="A24" s="52" t="s">
        <v>88</v>
      </c>
      <c r="B24" s="85">
        <v>0.38900000000000001</v>
      </c>
      <c r="C24" s="85">
        <v>0.95</v>
      </c>
      <c r="D24" s="86">
        <v>1</v>
      </c>
      <c r="E24" s="86" t="s">
        <v>203</v>
      </c>
    </row>
    <row r="25" spans="1:5" ht="15.75" customHeight="1" x14ac:dyDescent="0.25">
      <c r="A25" s="52" t="s">
        <v>87</v>
      </c>
      <c r="B25" s="85">
        <v>6.0000000000000001E-3</v>
      </c>
      <c r="C25" s="85">
        <v>0.95</v>
      </c>
      <c r="D25" s="86">
        <v>1</v>
      </c>
      <c r="E25" s="86" t="s">
        <v>203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86">
        <v>1</v>
      </c>
      <c r="E26" s="86" t="s">
        <v>203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2.99</v>
      </c>
      <c r="E27" s="86" t="s">
        <v>203</v>
      </c>
    </row>
    <row r="28" spans="1:5" ht="15.75" customHeight="1" x14ac:dyDescent="0.25">
      <c r="A28" s="52" t="s">
        <v>84</v>
      </c>
      <c r="B28" s="85">
        <v>0.08</v>
      </c>
      <c r="C28" s="85">
        <v>0.95</v>
      </c>
      <c r="D28" s="86">
        <v>2.2000000000000002</v>
      </c>
      <c r="E28" s="86" t="s">
        <v>203</v>
      </c>
    </row>
    <row r="29" spans="1:5" ht="15.75" customHeight="1" x14ac:dyDescent="0.25">
      <c r="A29" s="52" t="s">
        <v>58</v>
      </c>
      <c r="B29" s="85">
        <v>0.57099999999999995</v>
      </c>
      <c r="C29" s="85">
        <v>0.95</v>
      </c>
      <c r="D29" s="86">
        <v>56.03</v>
      </c>
      <c r="E29" s="86" t="s">
        <v>203</v>
      </c>
    </row>
    <row r="30" spans="1:5" ht="15.75" customHeight="1" x14ac:dyDescent="0.25">
      <c r="A30" s="52" t="s">
        <v>67</v>
      </c>
      <c r="B30" s="85">
        <v>1.7000000000000001E-2</v>
      </c>
      <c r="C30" s="85">
        <v>0.95</v>
      </c>
      <c r="D30" s="86">
        <v>16.9256724</v>
      </c>
      <c r="E30" s="86" t="s">
        <v>203</v>
      </c>
    </row>
    <row r="31" spans="1:5" ht="15.75" customHeight="1" x14ac:dyDescent="0.25">
      <c r="A31" s="52" t="s">
        <v>28</v>
      </c>
      <c r="B31" s="85">
        <v>0.15</v>
      </c>
      <c r="C31" s="85">
        <v>0.95</v>
      </c>
      <c r="D31" s="86">
        <v>2.4900000000000002</v>
      </c>
      <c r="E31" s="86" t="s">
        <v>203</v>
      </c>
    </row>
    <row r="32" spans="1:5" ht="15.75" customHeight="1" x14ac:dyDescent="0.25">
      <c r="A32" s="52" t="s">
        <v>83</v>
      </c>
      <c r="B32" s="85">
        <v>0.17</v>
      </c>
      <c r="C32" s="85">
        <v>0.95</v>
      </c>
      <c r="D32" s="86">
        <v>1</v>
      </c>
      <c r="E32" s="86" t="s">
        <v>203</v>
      </c>
    </row>
    <row r="33" spans="1:6" ht="15.75" customHeight="1" x14ac:dyDescent="0.25">
      <c r="A33" s="52" t="s">
        <v>82</v>
      </c>
      <c r="B33" s="85">
        <v>0</v>
      </c>
      <c r="C33" s="85">
        <v>0.95</v>
      </c>
      <c r="D33" s="86">
        <v>2.8</v>
      </c>
      <c r="E33" s="86" t="s">
        <v>203</v>
      </c>
    </row>
    <row r="34" spans="1:6" ht="15.75" customHeight="1" x14ac:dyDescent="0.25">
      <c r="A34" s="52" t="s">
        <v>81</v>
      </c>
      <c r="B34" s="85">
        <v>0.189</v>
      </c>
      <c r="C34" s="85">
        <v>0.95</v>
      </c>
      <c r="D34" s="86">
        <v>50.26</v>
      </c>
      <c r="E34" s="86" t="s">
        <v>203</v>
      </c>
    </row>
    <row r="35" spans="1:6" ht="15.75" customHeight="1" x14ac:dyDescent="0.25">
      <c r="A35" s="52" t="s">
        <v>79</v>
      </c>
      <c r="B35" s="85">
        <v>0.4</v>
      </c>
      <c r="C35" s="85">
        <v>0.95</v>
      </c>
      <c r="D35" s="86">
        <v>36.1</v>
      </c>
      <c r="E35" s="86" t="s">
        <v>203</v>
      </c>
    </row>
    <row r="36" spans="1:6" s="36" customFormat="1" ht="15.75" customHeight="1" x14ac:dyDescent="0.25">
      <c r="A36" s="52" t="s">
        <v>80</v>
      </c>
      <c r="B36" s="85">
        <v>0</v>
      </c>
      <c r="C36" s="85">
        <v>0.95</v>
      </c>
      <c r="D36" s="86">
        <v>231.85</v>
      </c>
      <c r="E36" s="86" t="s">
        <v>203</v>
      </c>
      <c r="F36" s="35"/>
    </row>
    <row r="37" spans="1:6" ht="15.75" customHeight="1" x14ac:dyDescent="0.25">
      <c r="A37" s="52" t="s">
        <v>85</v>
      </c>
      <c r="B37" s="85">
        <v>0</v>
      </c>
      <c r="C37" s="85">
        <v>0.95</v>
      </c>
      <c r="D37" s="86">
        <v>3.3</v>
      </c>
      <c r="E37" s="86" t="s">
        <v>203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5.92</v>
      </c>
      <c r="E38" s="86" t="s">
        <v>203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Dominic Delport</cp:lastModifiedBy>
  <dcterms:created xsi:type="dcterms:W3CDTF">2017-08-01T10:42:13Z</dcterms:created>
  <dcterms:modified xsi:type="dcterms:W3CDTF">2019-05-01T02:09:42Z</dcterms:modified>
</cp:coreProperties>
</file>