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F2C44864-3EE4-414B-8DFA-EE8459F23E47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A40" i="2"/>
  <c r="H39" i="2"/>
  <c r="G39" i="2"/>
  <c r="H38" i="2"/>
  <c r="I38" i="2" s="1"/>
  <c r="G38" i="2"/>
  <c r="A37" i="2"/>
  <c r="A29" i="2"/>
  <c r="A26" i="2"/>
  <c r="A18" i="2"/>
  <c r="A15" i="2"/>
  <c r="H11" i="2"/>
  <c r="G11" i="2"/>
  <c r="I11" i="2" s="1"/>
  <c r="H10" i="2"/>
  <c r="G10" i="2"/>
  <c r="I10" i="2" s="1"/>
  <c r="H9" i="2"/>
  <c r="G9" i="2"/>
  <c r="I9" i="2" s="1"/>
  <c r="H8" i="2"/>
  <c r="G8" i="2"/>
  <c r="H7" i="2"/>
  <c r="G7" i="2"/>
  <c r="I7" i="2" s="1"/>
  <c r="H6" i="2"/>
  <c r="G6" i="2"/>
  <c r="I6" i="2" s="1"/>
  <c r="H5" i="2"/>
  <c r="G5" i="2"/>
  <c r="I5" i="2" s="1"/>
  <c r="H4" i="2"/>
  <c r="G4" i="2"/>
  <c r="H3" i="2"/>
  <c r="G3" i="2"/>
  <c r="I3" i="2" s="1"/>
  <c r="H2" i="2"/>
  <c r="G2" i="2"/>
  <c r="I2" i="2" s="1"/>
  <c r="A2" i="2"/>
  <c r="A32" i="2" s="1"/>
  <c r="C33" i="1"/>
  <c r="C20" i="1"/>
  <c r="A17" i="2" l="1"/>
  <c r="A27" i="2"/>
  <c r="A38" i="2"/>
  <c r="A21" i="2"/>
  <c r="A31" i="2"/>
  <c r="A19" i="2"/>
  <c r="A22" i="2"/>
  <c r="A33" i="2"/>
  <c r="A39" i="2"/>
  <c r="A30" i="2"/>
  <c r="I4" i="2"/>
  <c r="I8" i="2"/>
  <c r="A13" i="2"/>
  <c r="A23" i="2"/>
  <c r="A34" i="2"/>
  <c r="I39" i="2"/>
  <c r="A14" i="2"/>
  <c r="A25" i="2"/>
  <c r="A35" i="2"/>
  <c r="A12" i="2"/>
  <c r="A20" i="2"/>
  <c r="A28" i="2"/>
  <c r="A36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<sst xmlns="http://schemas.openxmlformats.org/spreadsheetml/2006/main" count="2092" uniqueCount="337">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</sst>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14380143.875</v>
      </c>
    </row>
    <row r="8" spans="1:3" ht="15" customHeight="1" x14ac:dyDescent="0.25">
      <c r="B8" s="7" t="s">
        <v>19</v>
      </c>
      <c r="C8" s="46">
        <v>8.8000000000000009E-2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0.84275520324706998</v>
      </c>
    </row>
    <row r="11" spans="1:3" ht="15" customHeight="1" x14ac:dyDescent="0.25">
      <c r="B11" s="7" t="s">
        <v>22</v>
      </c>
      <c r="C11" s="46">
        <v>0.90900000000000003</v>
      </c>
    </row>
    <row r="12" spans="1:3" ht="15" customHeight="1" x14ac:dyDescent="0.25">
      <c r="B12" s="7" t="s">
        <v>23</v>
      </c>
      <c r="C12" s="46">
        <v>0.49700000000000011</v>
      </c>
    </row>
    <row r="13" spans="1:3" ht="15" customHeight="1" x14ac:dyDescent="0.25">
      <c r="B13" s="7" t="s">
        <v>24</v>
      </c>
      <c r="C13" s="46">
        <v>0.107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0.18279999999999999</v>
      </c>
    </row>
    <row r="24" spans="1:3" ht="15" customHeight="1" x14ac:dyDescent="0.25">
      <c r="B24" s="12" t="s">
        <v>33</v>
      </c>
      <c r="C24" s="47">
        <v>0.54590000000000005</v>
      </c>
    </row>
    <row r="25" spans="1:3" ht="15" customHeight="1" x14ac:dyDescent="0.25">
      <c r="B25" s="12" t="s">
        <v>34</v>
      </c>
      <c r="C25" s="47">
        <v>0.23910000000000001</v>
      </c>
    </row>
    <row r="26" spans="1:3" ht="15" customHeight="1" x14ac:dyDescent="0.25">
      <c r="B26" s="12" t="s">
        <v>35</v>
      </c>
      <c r="C26" s="47">
        <v>3.2199999999999999E-2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0.35</v>
      </c>
    </row>
    <row r="30" spans="1:3" ht="14.25" customHeight="1" x14ac:dyDescent="0.25">
      <c r="B30" s="22" t="s">
        <v>38</v>
      </c>
      <c r="C30" s="49">
        <v>0.105</v>
      </c>
    </row>
    <row r="31" spans="1:3" ht="14.25" customHeight="1" x14ac:dyDescent="0.25">
      <c r="B31" s="22" t="s">
        <v>39</v>
      </c>
      <c r="C31" s="49">
        <v>9.9000000000000005E-2</v>
      </c>
    </row>
    <row r="32" spans="1:3" ht="14.25" customHeight="1" x14ac:dyDescent="0.25">
      <c r="B32" s="22" t="s">
        <v>40</v>
      </c>
      <c r="C32" s="49">
        <v>0.44600000000000001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7.8661277564155201</v>
      </c>
    </row>
    <row r="38" spans="1:5" ht="15" customHeight="1" x14ac:dyDescent="0.25">
      <c r="B38" s="28" t="s">
        <v>45</v>
      </c>
      <c r="C38" s="117">
        <v>12.4478381891936</v>
      </c>
      <c r="D38" s="9"/>
      <c r="E38" s="10"/>
    </row>
    <row r="39" spans="1:5" ht="15" customHeight="1" x14ac:dyDescent="0.25">
      <c r="B39" s="28" t="s">
        <v>46</v>
      </c>
      <c r="C39" s="117">
        <v>13.9354173113574</v>
      </c>
      <c r="D39" s="9"/>
      <c r="E39" s="9"/>
    </row>
    <row r="40" spans="1:5" ht="15" customHeight="1" x14ac:dyDescent="0.25">
      <c r="B40" s="28" t="s">
        <v>47</v>
      </c>
      <c r="C40" s="117">
        <v>60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7.4769316220000004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1.9276999999999999E-2</v>
      </c>
      <c r="D45" s="9"/>
    </row>
    <row r="46" spans="1:5" ht="15.75" customHeight="1" x14ac:dyDescent="0.25">
      <c r="B46" s="28" t="s">
        <v>52</v>
      </c>
      <c r="C46" s="47">
        <v>7.3105489999999995E-2</v>
      </c>
      <c r="D46" s="9"/>
    </row>
    <row r="47" spans="1:5" ht="15.75" customHeight="1" x14ac:dyDescent="0.25">
      <c r="B47" s="28" t="s">
        <v>53</v>
      </c>
      <c r="C47" s="47">
        <v>0.114826</v>
      </c>
      <c r="D47" s="9"/>
      <c r="E47" s="10"/>
    </row>
    <row r="48" spans="1:5" ht="15" customHeight="1" x14ac:dyDescent="0.25">
      <c r="B48" s="28" t="s">
        <v>54</v>
      </c>
      <c r="C48" s="48">
        <v>0.79279151000000003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3.2</v>
      </c>
      <c r="D51" s="9"/>
    </row>
    <row r="52" spans="1:4" ht="15" customHeight="1" x14ac:dyDescent="0.25">
      <c r="B52" s="28" t="s">
        <v>57</v>
      </c>
      <c r="C52" s="51">
        <v>3.2</v>
      </c>
    </row>
    <row r="53" spans="1:4" ht="15.75" customHeight="1" x14ac:dyDescent="0.25">
      <c r="B53" s="28" t="s">
        <v>58</v>
      </c>
      <c r="C53" s="51">
        <v>3.2</v>
      </c>
    </row>
    <row r="54" spans="1:4" ht="15.75" customHeight="1" x14ac:dyDescent="0.25">
      <c r="B54" s="28" t="s">
        <v>59</v>
      </c>
      <c r="C54" s="51">
        <v>3.2</v>
      </c>
    </row>
    <row r="55" spans="1:4" ht="15.75" customHeight="1" x14ac:dyDescent="0.25">
      <c r="B55" s="28" t="s">
        <v>60</v>
      </c>
      <c r="C55" s="51">
        <v>3.2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1.934703748488513E-2</v>
      </c>
    </row>
    <row r="59" spans="1:4" ht="15.75" customHeight="1" x14ac:dyDescent="0.25">
      <c r="B59" s="28" t="s">
        <v>63</v>
      </c>
      <c r="C59" s="46">
        <v>0.54093358507687406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8.3842697000000008</v>
      </c>
    </row>
    <row r="63" spans="1:4" ht="15.75" customHeight="1" x14ac:dyDescent="0.25">
      <c r="A63" s="39"/>
    </row>
  </sheetData>
  <sheetProtection algorithmName="SHA-512" hashValue="1oPp8lQY8vHdqdsW5VDec3bPFffSc08MCUL/IY+Z9LoKA+UKFKIYqr6VExA91Tn3LhJ0htRcm9lMn1a/BvxdCg==" saltValue="jp5UcgUk84L1Bxsm80EZ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0.231453909194305</v>
      </c>
      <c r="C2" s="115">
        <v>0.95</v>
      </c>
      <c r="D2" s="116">
        <v>86.770455007029625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40.524326066971597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864.9948491750622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7.0055425565758203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13.656625510767499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13.656625510767499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13.656625510767499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13.656625510767499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13.656625510767499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13.656625510767499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1.363391310662851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0.48685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0.56700000000000006</v>
      </c>
      <c r="C18" s="115">
        <v>0.95</v>
      </c>
      <c r="D18" s="116">
        <v>19.805611394811169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0.56700000000000006</v>
      </c>
      <c r="C19" s="115">
        <v>0.95</v>
      </c>
      <c r="D19" s="116">
        <v>19.805611394811169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0.97937389999999991</v>
      </c>
      <c r="C21" s="115">
        <v>0.95</v>
      </c>
      <c r="D21" s="116">
        <v>76.727649414499837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23.904870229687631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4.6821164540834266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0.73288517478539006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0.46083239999999998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19.218001831842621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0.56700000000000006</v>
      </c>
      <c r="C29" s="115">
        <v>0.95</v>
      </c>
      <c r="D29" s="116">
        <v>179.24514608865209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0.41843582081384939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2.9936883930025688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0.9725855241080591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3.027552545673728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0.88293849405559699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p4jJHbi5svrl3LXVa3U/R/90zq0HaB+2kBs4ppX4gmRcZxpPE5A6W+MjgHGFaCS8OAnYYKaCxhryl6fVJZcSbA==" saltValue="TiaIqCqAJDT5kltNcS8UP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4etG2bx0teQ6h6dxRtsomXNaxXTMUNfu126tvfHEXLp1mReeiawP6sRzfPtQIj43288spDckibTGkP7T699Ung==" saltValue="NLSX3IEsh9c6LFeX3EEJG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stiaRCknoM+QE2cJ96JLf3sp/5Ro22QFPINp+PYiFOztNuoCOf4YgfwT5E6+KbDqsFM6bmUCb5IesZAkXLXDsQ==" saltValue="F2a6nRcBp3bXaB4s91W9w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3.2</v>
      </c>
      <c r="C2" s="18">
        <f>'Donnees pop de l''annee de ref'!C52</f>
        <v>3.2</v>
      </c>
      <c r="D2" s="18">
        <f>'Donnees pop de l''annee de ref'!C53</f>
        <v>3.2</v>
      </c>
      <c r="E2" s="18">
        <f>'Donnees pop de l''annee de ref'!C54</f>
        <v>3.2</v>
      </c>
      <c r="F2" s="18">
        <f>'Donnees pop de l''annee de ref'!C55</f>
        <v>3.2</v>
      </c>
    </row>
    <row r="3" spans="1:6" ht="15.75" customHeight="1" x14ac:dyDescent="0.25">
      <c r="A3" s="4" t="s">
        <v>209</v>
      </c>
      <c r="B3" s="18">
        <f>frac_mam_1month * 2.6</f>
        <v>0.11086339160000001</v>
      </c>
      <c r="C3" s="18">
        <f>frac_mam_1_5months * 2.6</f>
        <v>0.11086339160000001</v>
      </c>
      <c r="D3" s="18">
        <f>frac_mam_6_11months * 2.6</f>
        <v>1.204076848E-2</v>
      </c>
      <c r="E3" s="18">
        <f>frac_mam_12_23months * 2.6</f>
        <v>5.6263113399999995E-2</v>
      </c>
      <c r="F3" s="18">
        <f>frac_mam_24_59months * 2.6</f>
        <v>2.1187038340000002E-2</v>
      </c>
    </row>
    <row r="4" spans="1:6" ht="15.75" customHeight="1" x14ac:dyDescent="0.25">
      <c r="A4" s="4" t="s">
        <v>208</v>
      </c>
      <c r="B4" s="18">
        <f>frac_sam_1month * 2.6</f>
        <v>3.1707561600000003E-2</v>
      </c>
      <c r="C4" s="18">
        <f>frac_sam_1_5months * 2.6</f>
        <v>3.1707561600000003E-2</v>
      </c>
      <c r="D4" s="18">
        <f>frac_sam_6_11months * 2.6</f>
        <v>3.9235422200000002E-2</v>
      </c>
      <c r="E4" s="18">
        <f>frac_sam_12_23months * 2.6</f>
        <v>6.7578355E-3</v>
      </c>
      <c r="F4" s="18">
        <f>frac_sam_24_59months * 2.6</f>
        <v>3.1906781400000001E-3</v>
      </c>
    </row>
  </sheetData>
  <sheetProtection algorithmName="SHA-512" hashValue="piYtO1pz4K6+2TCgfaqGJ8kO28qrKLeFkM4KaOChtYttz8YnfNnDLmGMotBYTNgouT1QNwXqmpa/ns9pPwUNig==" saltValue="3KVH/wbKlnzUMHCWXsgo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8.8000000000000009E-2</v>
      </c>
      <c r="E2" s="65">
        <f>food_insecure</f>
        <v>8.8000000000000009E-2</v>
      </c>
      <c r="F2" s="65">
        <f>food_insecure</f>
        <v>8.8000000000000009E-2</v>
      </c>
      <c r="G2" s="65">
        <f>food_insecure</f>
        <v>8.8000000000000009E-2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8.8000000000000009E-2</v>
      </c>
      <c r="F5" s="65">
        <f>food_insecure</f>
        <v>8.8000000000000009E-2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8.8000000000000009E-2</v>
      </c>
      <c r="F8" s="65">
        <f>food_insecure</f>
        <v>8.8000000000000009E-2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8.8000000000000009E-2</v>
      </c>
      <c r="F9" s="65">
        <f>food_insecure</f>
        <v>8.8000000000000009E-2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0.49700000000000011</v>
      </c>
      <c r="E10" s="65">
        <f>IF(ISBLANK(comm_deliv), frac_children_health_facility,1)</f>
        <v>0.49700000000000011</v>
      </c>
      <c r="F10" s="65">
        <f>IF(ISBLANK(comm_deliv), frac_children_health_facility,1)</f>
        <v>0.49700000000000011</v>
      </c>
      <c r="G10" s="65">
        <f>IF(ISBLANK(comm_deliv), frac_children_health_facility,1)</f>
        <v>0.49700000000000011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8.8000000000000009E-2</v>
      </c>
      <c r="I15" s="65">
        <f>food_insecure</f>
        <v>8.8000000000000009E-2</v>
      </c>
      <c r="J15" s="65">
        <f>food_insecure</f>
        <v>8.8000000000000009E-2</v>
      </c>
      <c r="K15" s="65">
        <f>food_insecure</f>
        <v>8.8000000000000009E-2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0.90900000000000003</v>
      </c>
      <c r="I18" s="65">
        <f>frac_PW_health_facility</f>
        <v>0.90900000000000003</v>
      </c>
      <c r="J18" s="65">
        <f>frac_PW_health_facility</f>
        <v>0.90900000000000003</v>
      </c>
      <c r="K18" s="65">
        <f>frac_PW_health_facility</f>
        <v>0.90900000000000003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0.107</v>
      </c>
      <c r="M24" s="65">
        <f>famplan_unmet_need</f>
        <v>0.107</v>
      </c>
      <c r="N24" s="65">
        <f>famplan_unmet_need</f>
        <v>0.107</v>
      </c>
      <c r="O24" s="65">
        <f>famplan_unmet_need</f>
        <v>0.107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7.9955834252929861E-2</v>
      </c>
      <c r="M25" s="65">
        <f>(1-food_insecure)*(0.49)+food_insecure*(0.7)</f>
        <v>0.50848000000000004</v>
      </c>
      <c r="N25" s="65">
        <f>(1-food_insecure)*(0.49)+food_insecure*(0.7)</f>
        <v>0.50848000000000004</v>
      </c>
      <c r="O25" s="65">
        <f>(1-food_insecure)*(0.49)+food_insecure*(0.7)</f>
        <v>0.50848000000000004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3.4266786108398513E-2</v>
      </c>
      <c r="M26" s="65">
        <f>(1-food_insecure)*(0.21)+food_insecure*(0.3)</f>
        <v>0.21792</v>
      </c>
      <c r="N26" s="65">
        <f>(1-food_insecure)*(0.21)+food_insecure*(0.3)</f>
        <v>0.21792</v>
      </c>
      <c r="O26" s="65">
        <f>(1-food_insecure)*(0.21)+food_insecure*(0.3)</f>
        <v>0.21792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4.3022176391601656E-2</v>
      </c>
      <c r="M27" s="65">
        <f>(1-food_insecure)*(0.3)</f>
        <v>0.27360000000000001</v>
      </c>
      <c r="N27" s="65">
        <f>(1-food_insecure)*(0.3)</f>
        <v>0.27360000000000001</v>
      </c>
      <c r="O27" s="65">
        <f>(1-food_insecure)*(0.3)</f>
        <v>0.27360000000000001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0.84275520324706998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9/QVWtU6NaETszPFnJZIPvDmedL8IcjcprycHpmNRZ6K0gUfjwRjkfRD292GOcU4GmdKwG6NjbpUjpZmCZnmdA==" saltValue="316BIzbF/LWFjnI6Jv60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v2/erqGlm7C+n5/tJekVzoQizgHhh/R3ftNxIf1gnYZFI6IOmUqjrCrSUn2kjQBBYoo3a18WQM9MZGsm3ZAiiA==" saltValue="rz9APOc7LoUak75C4ZU5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Bm4MvfOv8KR4gtr9V6hsFkFT6QMDH09Tl/RAVMKyGk3jVXeTkibrr1vQZaw2qoEhT6uLMbJH9XRPBTtYGebumQ==" saltValue="6QfvrpfzNGaQd8y86mfxK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nmuOZzyb/iA60Aze6iBESBJ8WE6iCxj6Sara2sZvW/xjbKqi5dZMaDNc2D0iphVhKR0eOE8XaUDQLvY0UtwhOw==" saltValue="/xIZxRSBbmACRe4w8xQ8j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ezRig3jk2lRLxxFroYIGGqyO69RM2IZc1XFvBUdIWHFfUYRj4WQQM/H3aXGaiYPivYCRVqXtvmq/GNZOvTVPnQ==" saltValue="MwXp6kJ0whjrG1D3xFXad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uZH7QhlghGBtWlb5cbUR4b5FalfLVM6CLvQU2CXZchPb1ju0V258Wd6Z6oqt4zv4Obx8QP3/qeM8QKvWiCTiTQ==" saltValue="nlAU7dtl+hxTvl8EvNWmy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2796590.3868</v>
      </c>
      <c r="C2" s="53">
        <v>7876000</v>
      </c>
      <c r="D2" s="53">
        <v>16955000</v>
      </c>
      <c r="E2" s="53">
        <v>17439000</v>
      </c>
      <c r="F2" s="53">
        <v>15521000</v>
      </c>
      <c r="G2" s="14">
        <f t="shared" ref="G2:G11" si="0">C2+D2+E2+F2</f>
        <v>57791000</v>
      </c>
      <c r="H2" s="14">
        <f t="shared" ref="H2:H11" si="1">(B2 + stillbirth*B2/(1000-stillbirth))/(1-abortion)</f>
        <v>2953519.7292104783</v>
      </c>
      <c r="I2" s="14">
        <f t="shared" ref="I2:I11" si="2">G2-H2</f>
        <v>54837480.270789519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2768218.1351999999</v>
      </c>
      <c r="C3" s="53">
        <v>7737000</v>
      </c>
      <c r="D3" s="53">
        <v>16888000</v>
      </c>
      <c r="E3" s="53">
        <v>17360000</v>
      </c>
      <c r="F3" s="53">
        <v>15846000</v>
      </c>
      <c r="G3" s="14">
        <f t="shared" si="0"/>
        <v>57831000</v>
      </c>
      <c r="H3" s="14">
        <f t="shared" si="1"/>
        <v>2923555.3821762279</v>
      </c>
      <c r="I3" s="14">
        <f t="shared" si="2"/>
        <v>54907444.617823772</v>
      </c>
    </row>
    <row r="4" spans="1:9" ht="15.75" customHeight="1" x14ac:dyDescent="0.25">
      <c r="A4" s="7">
        <f t="shared" si="3"/>
        <v>2023</v>
      </c>
      <c r="B4" s="52">
        <v>2738552.7546000001</v>
      </c>
      <c r="C4" s="53">
        <v>7601000</v>
      </c>
      <c r="D4" s="53">
        <v>16795000</v>
      </c>
      <c r="E4" s="53">
        <v>17251000</v>
      </c>
      <c r="F4" s="53">
        <v>16171000</v>
      </c>
      <c r="G4" s="14">
        <f t="shared" si="0"/>
        <v>57818000</v>
      </c>
      <c r="H4" s="14">
        <f t="shared" si="1"/>
        <v>2892225.3428218076</v>
      </c>
      <c r="I4" s="14">
        <f t="shared" si="2"/>
        <v>54925774.657178193</v>
      </c>
    </row>
    <row r="5" spans="1:9" ht="15.75" customHeight="1" x14ac:dyDescent="0.25">
      <c r="A5" s="7">
        <f t="shared" si="3"/>
        <v>2024</v>
      </c>
      <c r="B5" s="52">
        <v>2707642.9187999992</v>
      </c>
      <c r="C5" s="53">
        <v>7484000</v>
      </c>
      <c r="D5" s="53">
        <v>16670000</v>
      </c>
      <c r="E5" s="53">
        <v>17146000</v>
      </c>
      <c r="F5" s="53">
        <v>16468000</v>
      </c>
      <c r="G5" s="14">
        <f t="shared" si="0"/>
        <v>57768000</v>
      </c>
      <c r="H5" s="14">
        <f t="shared" si="1"/>
        <v>2859581.0162544046</v>
      </c>
      <c r="I5" s="14">
        <f t="shared" si="2"/>
        <v>54908418.983745597</v>
      </c>
    </row>
    <row r="6" spans="1:9" ht="15.75" customHeight="1" x14ac:dyDescent="0.25">
      <c r="A6" s="7">
        <f t="shared" si="3"/>
        <v>2025</v>
      </c>
      <c r="B6" s="52">
        <v>2675524.3110000002</v>
      </c>
      <c r="C6" s="53">
        <v>7393000</v>
      </c>
      <c r="D6" s="53">
        <v>16505000</v>
      </c>
      <c r="E6" s="53">
        <v>17064000</v>
      </c>
      <c r="F6" s="53">
        <v>16713000</v>
      </c>
      <c r="G6" s="14">
        <f t="shared" si="0"/>
        <v>57675000</v>
      </c>
      <c r="H6" s="14">
        <f t="shared" si="1"/>
        <v>2825660.0880198563</v>
      </c>
      <c r="I6" s="14">
        <f t="shared" si="2"/>
        <v>54849339.911980145</v>
      </c>
    </row>
    <row r="7" spans="1:9" ht="15.75" customHeight="1" x14ac:dyDescent="0.25">
      <c r="A7" s="7">
        <f t="shared" si="3"/>
        <v>2026</v>
      </c>
      <c r="B7" s="52">
        <v>2651390.91</v>
      </c>
      <c r="C7" s="53">
        <v>7333000</v>
      </c>
      <c r="D7" s="53">
        <v>16314000</v>
      </c>
      <c r="E7" s="53">
        <v>17011000</v>
      </c>
      <c r="F7" s="53">
        <v>16909000</v>
      </c>
      <c r="G7" s="14">
        <f t="shared" si="0"/>
        <v>57567000</v>
      </c>
      <c r="H7" s="14">
        <f t="shared" si="1"/>
        <v>2800172.4526754436</v>
      </c>
      <c r="I7" s="14">
        <f t="shared" si="2"/>
        <v>54766827.547324553</v>
      </c>
    </row>
    <row r="8" spans="1:9" ht="15.75" customHeight="1" x14ac:dyDescent="0.25">
      <c r="A8" s="7">
        <f t="shared" si="3"/>
        <v>2027</v>
      </c>
      <c r="B8" s="52">
        <v>2626209.6209999998</v>
      </c>
      <c r="C8" s="53">
        <v>7303000</v>
      </c>
      <c r="D8" s="53">
        <v>16084000</v>
      </c>
      <c r="E8" s="53">
        <v>16983000</v>
      </c>
      <c r="F8" s="53">
        <v>17057000</v>
      </c>
      <c r="G8" s="14">
        <f t="shared" si="0"/>
        <v>57427000</v>
      </c>
      <c r="H8" s="14">
        <f t="shared" si="1"/>
        <v>2773578.1275931946</v>
      </c>
      <c r="I8" s="14">
        <f t="shared" si="2"/>
        <v>54653421.872406803</v>
      </c>
    </row>
    <row r="9" spans="1:9" ht="15.75" customHeight="1" x14ac:dyDescent="0.25">
      <c r="A9" s="7">
        <f t="shared" si="3"/>
        <v>2028</v>
      </c>
      <c r="B9" s="52">
        <v>2600009.1719999998</v>
      </c>
      <c r="C9" s="53">
        <v>7289000</v>
      </c>
      <c r="D9" s="53">
        <v>15830000</v>
      </c>
      <c r="E9" s="53">
        <v>16966000</v>
      </c>
      <c r="F9" s="53">
        <v>17156000</v>
      </c>
      <c r="G9" s="14">
        <f t="shared" si="0"/>
        <v>57241000</v>
      </c>
      <c r="H9" s="14">
        <f t="shared" si="1"/>
        <v>2745907.4528311966</v>
      </c>
      <c r="I9" s="14">
        <f t="shared" si="2"/>
        <v>54495092.547168806</v>
      </c>
    </row>
    <row r="10" spans="1:9" ht="15.75" customHeight="1" x14ac:dyDescent="0.25">
      <c r="A10" s="7">
        <f t="shared" si="3"/>
        <v>2029</v>
      </c>
      <c r="B10" s="52">
        <v>2572818.2910000011</v>
      </c>
      <c r="C10" s="53">
        <v>7273000</v>
      </c>
      <c r="D10" s="53">
        <v>15581000</v>
      </c>
      <c r="E10" s="53">
        <v>16941000</v>
      </c>
      <c r="F10" s="53">
        <v>17209000</v>
      </c>
      <c r="G10" s="14">
        <f t="shared" si="0"/>
        <v>57004000</v>
      </c>
      <c r="H10" s="14">
        <f t="shared" si="1"/>
        <v>2717190.7684475379</v>
      </c>
      <c r="I10" s="14">
        <f t="shared" si="2"/>
        <v>54286809.231552459</v>
      </c>
    </row>
    <row r="11" spans="1:9" ht="15.75" customHeight="1" x14ac:dyDescent="0.25">
      <c r="A11" s="7">
        <f t="shared" si="3"/>
        <v>2030</v>
      </c>
      <c r="B11" s="52">
        <v>2544676.9920000001</v>
      </c>
      <c r="C11" s="53">
        <v>7242000</v>
      </c>
      <c r="D11" s="53">
        <v>15357000</v>
      </c>
      <c r="E11" s="53">
        <v>16895000</v>
      </c>
      <c r="F11" s="53">
        <v>17219000</v>
      </c>
      <c r="G11" s="14">
        <f t="shared" si="0"/>
        <v>56713000</v>
      </c>
      <c r="H11" s="14">
        <f t="shared" si="1"/>
        <v>2687470.3338088351</v>
      </c>
      <c r="I11" s="14">
        <f t="shared" si="2"/>
        <v>54025529.666191168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Tu4zwu+G6q9gvn5aN2fF6a97CncUMV2FOR9abnLOwX9UudDPfRBVhzAkCnMTHl1df1/G1/qvyoI2HbPmmOUNbA==" saltValue="LfkCU1rFVv/u5Is2ziq3B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rECzc0OHzyTm+XXQ3/qu+wwTzbdt+S/edVdsLRg4Yp/S3BdohqbmVWHEnRW7j76jy/A+diQMWOmvOtYWjYs2Vg==" saltValue="9DcMWzQe3CVjHC7tuq1WV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lFTgeicRVjqzo28PMrLTkeiMulHWesXJwEI8HWjDhi6dA1p0jQi21smd9NXouQ/MYd1rx6ZJjfSOHotB68z34w==" saltValue="IC0vkoj2ergqpoqifMG1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lh9xy0bVX328nhQ3s8Up6rTIhCDActuwpAOtAjgwM01H33Jz6zpKqW2fE621EFuGIg8x+QBwys7UvKCG/KYYGw==" saltValue="W0XtrHdNSnwD9uLrT8UWz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onA0g5NVAQusbsd/zeYsu0mXZcKZFKDVnay3KwyF6+g08Eeq8oWFlhqR0Sd23gxlVHUF8oJDkYW3t6GvkSDV2A==" saltValue="ChuY7cJN6tuApF+sLvIto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CPdLVJYIUmNn10Ii3wWrn8PsYO8/j4lPmg237O3LJQAnvR5VtuZbh4VUrknRF3fHYGS+LclbRj78dU76bf5bsg==" saltValue="M9/cwDyaQbQWkPipgQmf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BH27ULPLo12kRnUFoJMe7OpvYDWC0UgUtS82KGrydEeoZGp2a6jUHQBVTqQU4Zb/vFhKM2SX8lgs5vGOF5n3sQ==" saltValue="BLPGsus7Q4887e63bUe01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bWqgR2XcSUWE4501+mmJDAWoz3YQZykVR4De0EOPYSck1EblSSKAALvrztHdfPT/RahKCvRo/mH2gCOXo6iYfA==" saltValue="CoWGRPVPKae5NN7aEnjtL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9aLsEauvEmQsJ2llZ9xYHMdfPQZ5IaWboTFpjfctxRVIb8Yi4QV7SYCmDnZnA7w2i7gAn8Oqxfomgva0L9kmaw==" saltValue="WU8j7eVobhdaHMsJUK2t3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iOvgOPhc+913EgkRCdaQJDxTlAPI7jt39kFaBtuyCn7T/nTueYWKpTdvgTulvJ4jgoLlkFXDQLUxLXvWJLOOJw==" saltValue="V0zH/UEyS5AET14I3xytz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0</v>
      </c>
    </row>
    <row r="4" spans="1:8" ht="15.75" customHeight="1" x14ac:dyDescent="0.25">
      <c r="B4" s="16" t="s">
        <v>79</v>
      </c>
      <c r="C4" s="54">
        <v>0.1385546479585095</v>
      </c>
    </row>
    <row r="5" spans="1:8" ht="15.75" customHeight="1" x14ac:dyDescent="0.25">
      <c r="B5" s="16" t="s">
        <v>80</v>
      </c>
      <c r="C5" s="54">
        <v>1.8057298240809729E-2</v>
      </c>
    </row>
    <row r="6" spans="1:8" ht="15.75" customHeight="1" x14ac:dyDescent="0.25">
      <c r="B6" s="16" t="s">
        <v>81</v>
      </c>
      <c r="C6" s="54">
        <v>0.14946707986729671</v>
      </c>
    </row>
    <row r="7" spans="1:8" ht="15.75" customHeight="1" x14ac:dyDescent="0.25">
      <c r="B7" s="16" t="s">
        <v>82</v>
      </c>
      <c r="C7" s="54">
        <v>0.29309180744516561</v>
      </c>
    </row>
    <row r="8" spans="1:8" ht="15.75" customHeight="1" x14ac:dyDescent="0.25">
      <c r="B8" s="16" t="s">
        <v>83</v>
      </c>
      <c r="C8" s="54">
        <v>5.2285575395470967E-5</v>
      </c>
    </row>
    <row r="9" spans="1:8" ht="15.75" customHeight="1" x14ac:dyDescent="0.25">
      <c r="B9" s="16" t="s">
        <v>84</v>
      </c>
      <c r="C9" s="54">
        <v>0.2066592754725827</v>
      </c>
    </row>
    <row r="10" spans="1:8" ht="15.75" customHeight="1" x14ac:dyDescent="0.25">
      <c r="B10" s="16" t="s">
        <v>85</v>
      </c>
      <c r="C10" s="54">
        <v>0.1941176054402404</v>
      </c>
    </row>
    <row r="11" spans="1:8" ht="15.75" customHeight="1" x14ac:dyDescent="0.25">
      <c r="B11" s="24" t="s">
        <v>41</v>
      </c>
      <c r="C11" s="50">
        <f>SUM(C3:C10)</f>
        <v>1.0000000000000002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4.9890928477146053E-2</v>
      </c>
      <c r="D14" s="54">
        <v>4.9890928477146053E-2</v>
      </c>
      <c r="E14" s="54">
        <v>4.9890928477146053E-2</v>
      </c>
      <c r="F14" s="54">
        <v>4.9890928477146053E-2</v>
      </c>
    </row>
    <row r="15" spans="1:8" ht="15.75" customHeight="1" x14ac:dyDescent="0.25">
      <c r="B15" s="16" t="s">
        <v>88</v>
      </c>
      <c r="C15" s="54">
        <v>0.1605932473652773</v>
      </c>
      <c r="D15" s="54">
        <v>0.1605932473652773</v>
      </c>
      <c r="E15" s="54">
        <v>0.1605932473652773</v>
      </c>
      <c r="F15" s="54">
        <v>0.1605932473652773</v>
      </c>
    </row>
    <row r="16" spans="1:8" ht="15.75" customHeight="1" x14ac:dyDescent="0.25">
      <c r="B16" s="16" t="s">
        <v>89</v>
      </c>
      <c r="C16" s="54">
        <v>2.2760053066342E-2</v>
      </c>
      <c r="D16" s="54">
        <v>2.2760053066342E-2</v>
      </c>
      <c r="E16" s="54">
        <v>2.2760053066342E-2</v>
      </c>
      <c r="F16" s="54">
        <v>2.2760053066342E-2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3.2439534044932851E-4</v>
      </c>
      <c r="D18" s="54">
        <v>3.2439534044932851E-4</v>
      </c>
      <c r="E18" s="54">
        <v>3.2439534044932851E-4</v>
      </c>
      <c r="F18" s="54">
        <v>3.2439534044932851E-4</v>
      </c>
    </row>
    <row r="19" spans="1:8" ht="15.75" customHeight="1" x14ac:dyDescent="0.25">
      <c r="B19" s="16" t="s">
        <v>92</v>
      </c>
      <c r="C19" s="54">
        <v>4.6984572997001029E-3</v>
      </c>
      <c r="D19" s="54">
        <v>4.6984572997001029E-3</v>
      </c>
      <c r="E19" s="54">
        <v>4.6984572997001029E-3</v>
      </c>
      <c r="F19" s="54">
        <v>4.6984572997001029E-3</v>
      </c>
    </row>
    <row r="20" spans="1:8" ht="15.75" customHeight="1" x14ac:dyDescent="0.25">
      <c r="B20" s="16" t="s">
        <v>93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5">
      <c r="B21" s="16" t="s">
        <v>94</v>
      </c>
      <c r="C21" s="54">
        <v>0.12818549931131759</v>
      </c>
      <c r="D21" s="54">
        <v>0.12818549931131759</v>
      </c>
      <c r="E21" s="54">
        <v>0.12818549931131759</v>
      </c>
      <c r="F21" s="54">
        <v>0.12818549931131759</v>
      </c>
    </row>
    <row r="22" spans="1:8" ht="15.75" customHeight="1" x14ac:dyDescent="0.25">
      <c r="B22" s="16" t="s">
        <v>95</v>
      </c>
      <c r="C22" s="54">
        <v>0.63354741913976764</v>
      </c>
      <c r="D22" s="54">
        <v>0.63354741913976764</v>
      </c>
      <c r="E22" s="54">
        <v>0.63354741913976764</v>
      </c>
      <c r="F22" s="54">
        <v>0.63354741913976764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5.79E-2</v>
      </c>
    </row>
    <row r="27" spans="1:8" ht="15.75" customHeight="1" x14ac:dyDescent="0.25">
      <c r="B27" s="16" t="s">
        <v>102</v>
      </c>
      <c r="C27" s="54">
        <v>2.6800000000000001E-2</v>
      </c>
    </row>
    <row r="28" spans="1:8" ht="15.75" customHeight="1" x14ac:dyDescent="0.25">
      <c r="B28" s="16" t="s">
        <v>103</v>
      </c>
      <c r="C28" s="54">
        <v>6.3E-2</v>
      </c>
    </row>
    <row r="29" spans="1:8" ht="15.75" customHeight="1" x14ac:dyDescent="0.25">
      <c r="B29" s="16" t="s">
        <v>104</v>
      </c>
      <c r="C29" s="54">
        <v>0.2273</v>
      </c>
    </row>
    <row r="30" spans="1:8" ht="15.75" customHeight="1" x14ac:dyDescent="0.25">
      <c r="B30" s="16" t="s">
        <v>2</v>
      </c>
      <c r="C30" s="54">
        <v>8.1699999999999995E-2</v>
      </c>
    </row>
    <row r="31" spans="1:8" ht="15.75" customHeight="1" x14ac:dyDescent="0.25">
      <c r="B31" s="16" t="s">
        <v>105</v>
      </c>
      <c r="C31" s="54">
        <v>8.8599999999999998E-2</v>
      </c>
    </row>
    <row r="32" spans="1:8" ht="15.75" customHeight="1" x14ac:dyDescent="0.25">
      <c r="B32" s="16" t="s">
        <v>106</v>
      </c>
      <c r="C32" s="54">
        <v>4.7E-2</v>
      </c>
    </row>
    <row r="33" spans="2:3" ht="15.75" customHeight="1" x14ac:dyDescent="0.25">
      <c r="B33" s="16" t="s">
        <v>107</v>
      </c>
      <c r="C33" s="54">
        <v>0.18240000000000001</v>
      </c>
    </row>
    <row r="34" spans="2:3" ht="15.75" customHeight="1" x14ac:dyDescent="0.25">
      <c r="B34" s="16" t="s">
        <v>108</v>
      </c>
      <c r="C34" s="54">
        <v>0.22530000000223521</v>
      </c>
    </row>
    <row r="35" spans="2:3" ht="15.75" customHeight="1" x14ac:dyDescent="0.25">
      <c r="B35" s="24" t="s">
        <v>41</v>
      </c>
      <c r="C35" s="50">
        <f>SUM(C26:C34)</f>
        <v>1.0000000000022353</v>
      </c>
    </row>
  </sheetData>
  <sheetProtection algorithmName="SHA-512" hashValue="efU5HOTVnS8TdnEozUZsfvpxedyhaimdBkBoNFXvubyIuSY1hH5kdE9XvXmPqoBEQ6lWk605g51xmOFM/eTB0g==" saltValue="rzJk5iAqo9so3mdRLgomZ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0.81556908000000006</v>
      </c>
      <c r="D2" s="55">
        <v>0.81556908000000006</v>
      </c>
      <c r="E2" s="55">
        <v>0.78457763999999997</v>
      </c>
      <c r="F2" s="55">
        <v>0.70228508000000001</v>
      </c>
      <c r="G2" s="55">
        <v>0.70046265000000008</v>
      </c>
    </row>
    <row r="3" spans="1:15" ht="15.75" customHeight="1" x14ac:dyDescent="0.25">
      <c r="B3" s="7" t="s">
        <v>113</v>
      </c>
      <c r="C3" s="55">
        <v>0.14594953999999999</v>
      </c>
      <c r="D3" s="55">
        <v>0.14594953999999999</v>
      </c>
      <c r="E3" s="55">
        <v>0.14819651</v>
      </c>
      <c r="F3" s="55">
        <v>0.18238937</v>
      </c>
      <c r="G3" s="55">
        <v>0.23103228000000001</v>
      </c>
    </row>
    <row r="4" spans="1:15" ht="15.75" customHeight="1" x14ac:dyDescent="0.25">
      <c r="B4" s="7" t="s">
        <v>114</v>
      </c>
      <c r="C4" s="56">
        <v>2.7474309999999998E-2</v>
      </c>
      <c r="D4" s="56">
        <v>2.7474309999999998E-2</v>
      </c>
      <c r="E4" s="56">
        <v>5.6534986000000002E-2</v>
      </c>
      <c r="F4" s="56">
        <v>9.7602892000000011E-2</v>
      </c>
      <c r="G4" s="56">
        <v>5.5185471E-2</v>
      </c>
    </row>
    <row r="5" spans="1:15" ht="15.75" customHeight="1" x14ac:dyDescent="0.25">
      <c r="B5" s="7" t="s">
        <v>115</v>
      </c>
      <c r="C5" s="56">
        <v>1.1007124E-2</v>
      </c>
      <c r="D5" s="56">
        <v>1.1007124E-2</v>
      </c>
      <c r="E5" s="56">
        <v>1.0690900999999999E-2</v>
      </c>
      <c r="F5" s="56">
        <v>1.7722642E-2</v>
      </c>
      <c r="G5" s="56">
        <v>1.3319582E-2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0.82404540999999998</v>
      </c>
      <c r="D8" s="55">
        <v>0.82404540999999998</v>
      </c>
      <c r="E8" s="55">
        <v>0.87714820999999998</v>
      </c>
      <c r="F8" s="55">
        <v>0.89270775000000002</v>
      </c>
      <c r="G8" s="55">
        <v>0.93191429000000003</v>
      </c>
    </row>
    <row r="9" spans="1:15" ht="15.75" customHeight="1" x14ac:dyDescent="0.25">
      <c r="B9" s="7" t="s">
        <v>118</v>
      </c>
      <c r="C9" s="55">
        <v>0.12111959</v>
      </c>
      <c r="D9" s="55">
        <v>0.12111959</v>
      </c>
      <c r="E9" s="55">
        <v>0.10313016999999999</v>
      </c>
      <c r="F9" s="55">
        <v>8.3053407999999995E-2</v>
      </c>
      <c r="G9" s="55">
        <v>5.8709697999999998E-2</v>
      </c>
    </row>
    <row r="10" spans="1:15" ht="15.75" customHeight="1" x14ac:dyDescent="0.25">
      <c r="B10" s="7" t="s">
        <v>119</v>
      </c>
      <c r="C10" s="56">
        <v>4.2639766000000003E-2</v>
      </c>
      <c r="D10" s="56">
        <v>4.2639766000000003E-2</v>
      </c>
      <c r="E10" s="56">
        <v>4.6310648000000001E-3</v>
      </c>
      <c r="F10" s="56">
        <v>2.1639658999999999E-2</v>
      </c>
      <c r="G10" s="56">
        <v>8.1488609000000007E-3</v>
      </c>
    </row>
    <row r="11" spans="1:15" ht="15.75" customHeight="1" x14ac:dyDescent="0.25">
      <c r="B11" s="7" t="s">
        <v>120</v>
      </c>
      <c r="C11" s="56">
        <v>1.2195216E-2</v>
      </c>
      <c r="D11" s="56">
        <v>1.2195216E-2</v>
      </c>
      <c r="E11" s="56">
        <v>1.5090546999999999E-2</v>
      </c>
      <c r="F11" s="56">
        <v>2.5991675000000001E-3</v>
      </c>
      <c r="G11" s="56">
        <v>1.2271839000000001E-3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0.37730602575</v>
      </c>
      <c r="D14" s="57">
        <v>0.36074305567499998</v>
      </c>
      <c r="E14" s="57">
        <v>0.36074305567499998</v>
      </c>
      <c r="F14" s="57">
        <v>0.216636343014</v>
      </c>
      <c r="G14" s="57">
        <v>0.216636343014</v>
      </c>
      <c r="H14" s="58">
        <v>0.373</v>
      </c>
      <c r="I14" s="58">
        <v>0.373</v>
      </c>
      <c r="J14" s="58">
        <v>0.373</v>
      </c>
      <c r="K14" s="58">
        <v>0.373</v>
      </c>
      <c r="L14" s="58">
        <v>0.38596748680800003</v>
      </c>
      <c r="M14" s="58">
        <v>0.33799769682949998</v>
      </c>
      <c r="N14" s="58">
        <v>0.2753787822855</v>
      </c>
      <c r="O14" s="58">
        <v>0.29949853049149999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0.20409750118005485</v>
      </c>
      <c r="D15" s="55">
        <f t="shared" si="0"/>
        <v>0.19513803439786412</v>
      </c>
      <c r="E15" s="55">
        <f t="shared" si="0"/>
        <v>0.19513803439786412</v>
      </c>
      <c r="F15" s="55">
        <f t="shared" si="0"/>
        <v>0.11718587368450645</v>
      </c>
      <c r="G15" s="55">
        <f t="shared" si="0"/>
        <v>0.11718587368450645</v>
      </c>
      <c r="H15" s="55">
        <f t="shared" si="0"/>
        <v>0.20176822723367402</v>
      </c>
      <c r="I15" s="55">
        <f t="shared" si="0"/>
        <v>0.20176822723367402</v>
      </c>
      <c r="J15" s="55">
        <f t="shared" si="0"/>
        <v>0.20176822723367402</v>
      </c>
      <c r="K15" s="55">
        <f t="shared" si="0"/>
        <v>0.20176822723367402</v>
      </c>
      <c r="L15" s="55">
        <f t="shared" si="0"/>
        <v>0.20878277636216255</v>
      </c>
      <c r="M15" s="55">
        <f t="shared" si="0"/>
        <v>0.1828343058937078</v>
      </c>
      <c r="N15" s="55">
        <f t="shared" si="0"/>
        <v>0.14896163195579951</v>
      </c>
      <c r="O15" s="55">
        <f t="shared" si="0"/>
        <v>0.16200881382402257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R/yyUmHY/VisP4I57MJdZ97NaYItSLNv/q3fXXYB4ntgazswLqz4l6gNGW5YrJPrDg08vgjKz3unravwX3tkEg==" saltValue="CztRHLEGjK6N/nJCJPox+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0.54563879999999998</v>
      </c>
      <c r="D2" s="56">
        <v>0.38127359999999999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0.2256956</v>
      </c>
      <c r="D3" s="56">
        <v>0.10669579999999999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0.1843689</v>
      </c>
      <c r="D4" s="56">
        <v>0.38874310000000001</v>
      </c>
      <c r="E4" s="56">
        <v>0.47391873598098699</v>
      </c>
      <c r="F4" s="56">
        <v>0.28096669912338301</v>
      </c>
      <c r="G4" s="56">
        <v>0</v>
      </c>
    </row>
    <row r="5" spans="1:7" x14ac:dyDescent="0.25">
      <c r="B5" s="98" t="s">
        <v>132</v>
      </c>
      <c r="C5" s="55">
        <v>4.4296700000000203E-2</v>
      </c>
      <c r="D5" s="55">
        <v>0.12328749999999999</v>
      </c>
      <c r="E5" s="55">
        <v>0.52608126401901301</v>
      </c>
      <c r="F5" s="55">
        <v>0.71903330087661699</v>
      </c>
      <c r="G5" s="55">
        <v>1</v>
      </c>
    </row>
  </sheetData>
  <sheetProtection algorithmName="SHA-512" hashValue="7S4YTz0uS86bzHHhUl44edIIYEPbLFu2WZASYI9KC30LXYlqcNsQialzzUnRZsK6AnRuJMRkar7Pyary4u6T5A==" saltValue="q3cr3PvedPzrK5QPQROBR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GwKPuZ2sQih1HRgenBHtN8/ZGUFLs6LfT1BPd8GMDUnD6vVGr8yIVgapeINmw8jiP3EGCRE04GS9cbGUR6/vEw==" saltValue="ubVYO6ctKIX2CNaCiPBmz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qzXBavj9jyGNE+x8uzkd9wmrOHh/6mhtT3qYsax1MhkTXT9Iit7e9Gj72X3tq9Jew91m+zALHl6+317YcuwP4w==" saltValue="2FTPxhX2QwIcqAPwb7yV8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Pq/Ri8jxWp1c51zdLOfYpEVcbWxRL+wr4Kh3F7owsri5G1BsvXwP8IWp4cw00R1J0jpM6uQzjd3x29LtL+ZTLg==" saltValue="1/EUDYVNQsQKDdpfeG/ke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64D6cehYLbGGFpCVLxlkgOQPOEITmFXercw8zATv7K1nY1vYFEDdcYPOLsx/F1VeHIZ0PF7oZiofYL7pvK578g==" saltValue="JoVoCfw37WlFwiHQ5lYZl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2022-02-01T03:38:43Z</dcterms:modified>
</cp:coreProperties>
</file>