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BEB4B22-0B31-4D34-A422-F8F481B39BF3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4" i="2"/>
  <c r="A26" i="2"/>
  <c r="A25" i="2"/>
  <c r="A18" i="2"/>
  <c r="H11" i="2"/>
  <c r="G11" i="2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I2" i="2"/>
  <c r="H2" i="2"/>
  <c r="G2" i="2"/>
  <c r="A2" i="2"/>
  <c r="A32" i="2" s="1"/>
  <c r="C33" i="1"/>
  <c r="C20" i="1"/>
  <c r="I7" i="2" l="1"/>
  <c r="A33" i="2"/>
  <c r="I11" i="2"/>
  <c r="A17" i="2"/>
  <c r="I9" i="2"/>
  <c r="A19" i="2"/>
  <c r="A27" i="2"/>
  <c r="A35" i="2"/>
  <c r="A12" i="2"/>
  <c r="A36" i="2"/>
  <c r="A20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<sst xmlns="http://schemas.openxmlformats.org/spreadsheetml/2006/main" count="2092" uniqueCount="337">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</sst>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2133542.6875</v>
      </c>
    </row>
    <row r="8" spans="1:3" ht="15" customHeight="1" x14ac:dyDescent="0.25">
      <c r="B8" s="7" t="s">
        <v>19</v>
      </c>
      <c r="C8" s="46">
        <v>0.55200000000000005</v>
      </c>
    </row>
    <row r="9" spans="1:3" ht="15" customHeight="1" x14ac:dyDescent="0.25">
      <c r="B9" s="7" t="s">
        <v>20</v>
      </c>
      <c r="C9" s="47">
        <v>0.99</v>
      </c>
    </row>
    <row r="10" spans="1:3" ht="15" customHeight="1" x14ac:dyDescent="0.25">
      <c r="B10" s="7" t="s">
        <v>21</v>
      </c>
      <c r="C10" s="47">
        <v>0.262394599914551</v>
      </c>
    </row>
    <row r="11" spans="1:3" ht="15" customHeight="1" x14ac:dyDescent="0.25">
      <c r="B11" s="7" t="s">
        <v>22</v>
      </c>
      <c r="C11" s="46">
        <v>0.56600000000000006</v>
      </c>
    </row>
    <row r="12" spans="1:3" ht="15" customHeight="1" x14ac:dyDescent="0.25">
      <c r="B12" s="7" t="s">
        <v>23</v>
      </c>
      <c r="C12" s="46">
        <v>0.29599999999999999</v>
      </c>
    </row>
    <row r="13" spans="1:3" ht="15" customHeight="1" x14ac:dyDescent="0.25">
      <c r="B13" s="7" t="s">
        <v>24</v>
      </c>
      <c r="C13" s="46">
        <v>0.78500000000000003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0.14269999999999999</v>
      </c>
    </row>
    <row r="24" spans="1:3" ht="15" customHeight="1" x14ac:dyDescent="0.25">
      <c r="B24" s="12" t="s">
        <v>33</v>
      </c>
      <c r="C24" s="47">
        <v>0.42099999999999987</v>
      </c>
    </row>
    <row r="25" spans="1:3" ht="15" customHeight="1" x14ac:dyDescent="0.25">
      <c r="B25" s="12" t="s">
        <v>34</v>
      </c>
      <c r="C25" s="47">
        <v>0.33529999999999999</v>
      </c>
    </row>
    <row r="26" spans="1:3" ht="15" customHeight="1" x14ac:dyDescent="0.25">
      <c r="B26" s="12" t="s">
        <v>35</v>
      </c>
      <c r="C26" s="47">
        <v>0.10100000000000001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0.17499999999999999</v>
      </c>
    </row>
    <row r="30" spans="1:3" ht="14.25" customHeight="1" x14ac:dyDescent="0.25">
      <c r="B30" s="22" t="s">
        <v>38</v>
      </c>
      <c r="C30" s="49">
        <v>3.2000000000000001E-2</v>
      </c>
    </row>
    <row r="31" spans="1:3" ht="14.25" customHeight="1" x14ac:dyDescent="0.25">
      <c r="B31" s="22" t="s">
        <v>39</v>
      </c>
      <c r="C31" s="49">
        <v>8.900000000000001E-2</v>
      </c>
    </row>
    <row r="32" spans="1:3" ht="14.25" customHeight="1" x14ac:dyDescent="0.25">
      <c r="B32" s="22" t="s">
        <v>40</v>
      </c>
      <c r="C32" s="49">
        <v>0.70400000000000007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30.3671816975958</v>
      </c>
    </row>
    <row r="38" spans="1:5" ht="15" customHeight="1" x14ac:dyDescent="0.25">
      <c r="B38" s="28" t="s">
        <v>45</v>
      </c>
      <c r="C38" s="117">
        <v>63.819793822014503</v>
      </c>
      <c r="D38" s="9"/>
      <c r="E38" s="10"/>
    </row>
    <row r="39" spans="1:5" ht="15" customHeight="1" x14ac:dyDescent="0.25">
      <c r="B39" s="28" t="s">
        <v>46</v>
      </c>
      <c r="C39" s="117">
        <v>98.802972846531503</v>
      </c>
      <c r="D39" s="9"/>
      <c r="E39" s="9"/>
    </row>
    <row r="40" spans="1:5" ht="15" customHeight="1" x14ac:dyDescent="0.25">
      <c r="B40" s="28" t="s">
        <v>47</v>
      </c>
      <c r="C40" s="117">
        <v>576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25.202297269999999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2.2363399999999999E-2</v>
      </c>
      <c r="D45" s="9"/>
    </row>
    <row r="46" spans="1:5" ht="15.75" customHeight="1" x14ac:dyDescent="0.25">
      <c r="B46" s="28" t="s">
        <v>52</v>
      </c>
      <c r="C46" s="47">
        <v>0.11700579999999999</v>
      </c>
      <c r="D46" s="9"/>
    </row>
    <row r="47" spans="1:5" ht="15.75" customHeight="1" x14ac:dyDescent="0.25">
      <c r="B47" s="28" t="s">
        <v>53</v>
      </c>
      <c r="C47" s="47">
        <v>0.22439870000000001</v>
      </c>
      <c r="D47" s="9"/>
      <c r="E47" s="10"/>
    </row>
    <row r="48" spans="1:5" ht="15" customHeight="1" x14ac:dyDescent="0.25">
      <c r="B48" s="28" t="s">
        <v>54</v>
      </c>
      <c r="C48" s="48">
        <v>0.63623209999999997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0.41212078435171362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vKxQvKzg/Cy1BsLu+xIAcSAj52f9zJRAQp3ELJOoM8kNikxhAxROv/EHXoAJY0tk/fO2iRhPCfHFLh926D439Q==" saltValue="QGrnim0iq9Hoo1YW1Rk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8.5839376715225096E-2</v>
      </c>
      <c r="C2" s="115">
        <v>0.95</v>
      </c>
      <c r="D2" s="116">
        <v>35.816368288100662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47.385296465699412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66.152777340535977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0.17464415084069779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15.044545796194489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15.044545796194489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15.044545796194489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15.044545796194489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15.044545796194489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15.044545796194489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0.62398120000000001</v>
      </c>
      <c r="C16" s="115">
        <v>0.95</v>
      </c>
      <c r="D16" s="116">
        <v>0.24712311935070541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0.163026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0.13809589999999999</v>
      </c>
      <c r="C18" s="115">
        <v>0.95</v>
      </c>
      <c r="D18" s="116">
        <v>1.6298747192048619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0.13809589999999999</v>
      </c>
      <c r="C19" s="115">
        <v>0.95</v>
      </c>
      <c r="D19" s="116">
        <v>1.6298747192048619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0.52556040000000004</v>
      </c>
      <c r="C21" s="115">
        <v>0.95</v>
      </c>
      <c r="D21" s="116">
        <v>1.5381163607561441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25.637914781807041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4.9284766235485638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0.39328741108403997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0.23646220000000001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21.742653433254151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0.26043110000000003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7.5999999999999998E-2</v>
      </c>
      <c r="C29" s="115">
        <v>0.95</v>
      </c>
      <c r="D29" s="116">
        <v>62.950095029969347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1.954333786257108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0.46704731202839472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0.54788661959999996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0.43885239999999998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0.28039869871091799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0.174497171149057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5.1292086462125832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0.22719269890891899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1Y81UeoYxg7HYEcxdiP0vDmnOg55gjoAAu8/WtjUC1EOmgWbznv6XM3DHR0p+jVR4kdZQf+egrNjGGIEqoO9oQ==" saltValue="vl/38c6sXhW2KGdWmYcE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KD5/TNdecK+xygKn0cmPw04ejgY8Ni+labPpuVG7rJqmmpQmDkwcJA9ly4LReYmsWRnb8uxFxocO7B0E56sZag==" saltValue="BHN7CPFgfZMG5mrDP5I2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J123rjhZB55J8RnnLxUEp8LYBxbFjQ8eeu9+aFt/bASxL2ZWWMbwiFzuEqOaE7O1DONVbA3YEBk9JGbuew7N2A==" saltValue="ed7ggK7PGDIs/vY6j+L3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0.20820057180000001</v>
      </c>
      <c r="C3" s="18">
        <f>frac_mam_1_5months * 2.6</f>
        <v>0.20820057180000001</v>
      </c>
      <c r="D3" s="18">
        <f>frac_mam_6_11months * 2.6</f>
        <v>0.14189490120000001</v>
      </c>
      <c r="E3" s="18">
        <f>frac_mam_12_23months * 2.6</f>
        <v>0.151865792</v>
      </c>
      <c r="F3" s="18">
        <f>frac_mam_24_59months * 2.6</f>
        <v>0.1264330132</v>
      </c>
    </row>
    <row r="4" spans="1:6" ht="15.75" customHeight="1" x14ac:dyDescent="0.25">
      <c r="A4" s="4" t="s">
        <v>208</v>
      </c>
      <c r="B4" s="18">
        <f>frac_sam_1month * 2.6</f>
        <v>0.1408158232</v>
      </c>
      <c r="C4" s="18">
        <f>frac_sam_1_5months * 2.6</f>
        <v>0.1408158232</v>
      </c>
      <c r="D4" s="18">
        <f>frac_sam_6_11months * 2.6</f>
        <v>0.1129438596</v>
      </c>
      <c r="E4" s="18">
        <f>frac_sam_12_23months * 2.6</f>
        <v>8.1669340999999993E-2</v>
      </c>
      <c r="F4" s="18">
        <f>frac_sam_24_59months * 2.6</f>
        <v>8.4558913400000005E-2</v>
      </c>
    </row>
  </sheetData>
  <sheetProtection algorithmName="SHA-512" hashValue="0ZrqXJJg2sBEQzL7tb1j7Kk1ciJ2zxtI06mY3gjFsbYrePRgREGvBrFhZ3fcp6dPCWCGe7XmoejLWxvnikvUrQ==" saltValue="PIph3gnffzazbIm9YhZN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0.55200000000000005</v>
      </c>
      <c r="E2" s="65">
        <f>food_insecure</f>
        <v>0.55200000000000005</v>
      </c>
      <c r="F2" s="65">
        <f>food_insecure</f>
        <v>0.55200000000000005</v>
      </c>
      <c r="G2" s="65">
        <f>food_insecure</f>
        <v>0.55200000000000005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0.55200000000000005</v>
      </c>
      <c r="F5" s="65">
        <f>food_insecure</f>
        <v>0.55200000000000005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0.55200000000000005</v>
      </c>
      <c r="F8" s="65">
        <f>food_insecure</f>
        <v>0.55200000000000005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0.55200000000000005</v>
      </c>
      <c r="F9" s="65">
        <f>food_insecure</f>
        <v>0.55200000000000005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0.29599999999999999</v>
      </c>
      <c r="E10" s="65">
        <f>IF(ISBLANK(comm_deliv), frac_children_health_facility,1)</f>
        <v>0.29599999999999999</v>
      </c>
      <c r="F10" s="65">
        <f>IF(ISBLANK(comm_deliv), frac_children_health_facility,1)</f>
        <v>0.29599999999999999</v>
      </c>
      <c r="G10" s="65">
        <f>IF(ISBLANK(comm_deliv), frac_children_health_facility,1)</f>
        <v>0.29599999999999999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0.55200000000000005</v>
      </c>
      <c r="I15" s="65">
        <f>food_insecure</f>
        <v>0.55200000000000005</v>
      </c>
      <c r="J15" s="65">
        <f>food_insecure</f>
        <v>0.55200000000000005</v>
      </c>
      <c r="K15" s="65">
        <f>food_insecure</f>
        <v>0.55200000000000005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0.56600000000000006</v>
      </c>
      <c r="I18" s="65">
        <f>frac_PW_health_facility</f>
        <v>0.56600000000000006</v>
      </c>
      <c r="J18" s="65">
        <f>frac_PW_health_facility</f>
        <v>0.56600000000000006</v>
      </c>
      <c r="K18" s="65">
        <f>frac_PW_health_facility</f>
        <v>0.56600000000000006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</v>
      </c>
      <c r="I19" s="65">
        <f>frac_malaria_risk</f>
        <v>0.99</v>
      </c>
      <c r="J19" s="65">
        <f>frac_malaria_risk</f>
        <v>0.99</v>
      </c>
      <c r="K19" s="65">
        <f>frac_malaria_risk</f>
        <v>0.99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0.78500000000000003</v>
      </c>
      <c r="M24" s="65">
        <f>famplan_unmet_need</f>
        <v>0.78500000000000003</v>
      </c>
      <c r="N24" s="65">
        <f>famplan_unmet_need</f>
        <v>0.78500000000000003</v>
      </c>
      <c r="O24" s="65">
        <f>famplan_unmet_need</f>
        <v>0.78500000000000003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0.4469298640197753</v>
      </c>
      <c r="M25" s="65">
        <f>(1-food_insecure)*(0.49)+food_insecure*(0.7)</f>
        <v>0.60592000000000001</v>
      </c>
      <c r="N25" s="65">
        <f>(1-food_insecure)*(0.49)+food_insecure*(0.7)</f>
        <v>0.60592000000000001</v>
      </c>
      <c r="O25" s="65">
        <f>(1-food_insecure)*(0.49)+food_insecure*(0.7)</f>
        <v>0.60592000000000001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0.19154137029418938</v>
      </c>
      <c r="M26" s="65">
        <f>(1-food_insecure)*(0.21)+food_insecure*(0.3)</f>
        <v>0.25967999999999997</v>
      </c>
      <c r="N26" s="65">
        <f>(1-food_insecure)*(0.21)+food_insecure*(0.3)</f>
        <v>0.25967999999999997</v>
      </c>
      <c r="O26" s="65">
        <f>(1-food_insecure)*(0.21)+food_insecure*(0.3)</f>
        <v>0.25967999999999997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9.9134165771484345E-2</v>
      </c>
      <c r="M27" s="65">
        <f>(1-food_insecure)*(0.3)</f>
        <v>0.13439999999999999</v>
      </c>
      <c r="N27" s="65">
        <f>(1-food_insecure)*(0.3)</f>
        <v>0.13439999999999999</v>
      </c>
      <c r="O27" s="65">
        <f>(1-food_insecure)*(0.3)</f>
        <v>0.13439999999999999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0.262394599914551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0.99</v>
      </c>
      <c r="D34" s="65">
        <f t="shared" si="3"/>
        <v>0.99</v>
      </c>
      <c r="E34" s="65">
        <f t="shared" si="3"/>
        <v>0.99</v>
      </c>
      <c r="F34" s="65">
        <f t="shared" si="3"/>
        <v>0.99</v>
      </c>
      <c r="G34" s="65">
        <f t="shared" si="3"/>
        <v>0.99</v>
      </c>
      <c r="H34" s="65">
        <f t="shared" si="3"/>
        <v>0.99</v>
      </c>
      <c r="I34" s="65">
        <f t="shared" si="3"/>
        <v>0.99</v>
      </c>
      <c r="J34" s="65">
        <f t="shared" si="3"/>
        <v>0.99</v>
      </c>
      <c r="K34" s="65">
        <f t="shared" si="3"/>
        <v>0.99</v>
      </c>
      <c r="L34" s="65">
        <f t="shared" si="3"/>
        <v>0.99</v>
      </c>
      <c r="M34" s="65">
        <f t="shared" si="3"/>
        <v>0.99</v>
      </c>
      <c r="N34" s="65">
        <f t="shared" si="3"/>
        <v>0.99</v>
      </c>
      <c r="O34" s="65">
        <f t="shared" si="3"/>
        <v>0.99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f+wqL1h7//XUck4QwsTQgmwvTRJEQ+fCDqXRbcICdeXNPdqk9G6WF8YMMrF1qKpGhDWcQ6a46OfkzMehak2Y8Q==" saltValue="o8UjjsRuC9kp9xavIsjg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RPY3IK1xlFZFwd6R2Wkwg874rAI/hnpmFdP4AWJ65DUWKqLXD3jBIW0VzMOdYgcUfJbu89ZD0ni/NIMd9ukpxg==" saltValue="sgtH611n8lXRnK6ZbuuT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WXgD9y9JfpbzBfpF2yvRCvgDemPFA7M21rUFSRbtcyaJTZ1pe3gXYHV6sy2G+LW5UWw+ygD1Q2t/Dan1Q305Q==" saltValue="YJ/6xLpHcPIrdBJPN5+X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763BgM75SvYA6HycUWoGkisRCod46lLcEMPUPS8JCScN9u+vESrn/19kGhG+4XbbpJQogq/IQZBQifB+Fc82A==" saltValue="jrW2iVDAt5I5ha+nNP67I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+3dz5JHk+hz1frjR2R4MoTAXXF1f505qZYbpsA+XbWWzW1sJhsYDbm5s/Nyr0Ts62+4HFxwM4vpupQt5vJWP4w==" saltValue="c1Xxat1QfBnkEVsLZvRfN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rTOmv8vN/PmGog6MrplkTMeGnN6PO5qsNaA+cEBpyKZsoY1E5lExWoRST3Hp+Y58ga1pSi9wsPf2Kk1Y8e6u3A==" saltValue="OxkNJ7lMd/5hP3v5sa2G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476201.21199999988</v>
      </c>
      <c r="C2" s="53">
        <v>749000</v>
      </c>
      <c r="D2" s="53">
        <v>1193000</v>
      </c>
      <c r="E2" s="53">
        <v>847000</v>
      </c>
      <c r="F2" s="53">
        <v>570000</v>
      </c>
      <c r="G2" s="14">
        <f t="shared" ref="G2:G11" si="0">C2+D2+E2+F2</f>
        <v>3359000</v>
      </c>
      <c r="H2" s="14">
        <f t="shared" ref="H2:H11" si="1">(B2 + stillbirth*B2/(1000-stillbirth))/(1-abortion)</f>
        <v>512067.98561263102</v>
      </c>
      <c r="I2" s="14">
        <f t="shared" ref="I2:I11" si="2">G2-H2</f>
        <v>2846932.0143873692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482486.48999999987</v>
      </c>
      <c r="C3" s="53">
        <v>769000</v>
      </c>
      <c r="D3" s="53">
        <v>1227000</v>
      </c>
      <c r="E3" s="53">
        <v>874000</v>
      </c>
      <c r="F3" s="53">
        <v>591000</v>
      </c>
      <c r="G3" s="14">
        <f t="shared" si="0"/>
        <v>3461000</v>
      </c>
      <c r="H3" s="14">
        <f t="shared" si="1"/>
        <v>518826.66149032989</v>
      </c>
      <c r="I3" s="14">
        <f t="shared" si="2"/>
        <v>2942173.33850967</v>
      </c>
    </row>
    <row r="4" spans="1:9" ht="15.75" customHeight="1" x14ac:dyDescent="0.25">
      <c r="A4" s="7">
        <f t="shared" si="3"/>
        <v>2023</v>
      </c>
      <c r="B4" s="52">
        <v>488697.91319999989</v>
      </c>
      <c r="C4" s="53">
        <v>789000</v>
      </c>
      <c r="D4" s="53">
        <v>1263000</v>
      </c>
      <c r="E4" s="53">
        <v>904000</v>
      </c>
      <c r="F4" s="53">
        <v>612000</v>
      </c>
      <c r="G4" s="14">
        <f t="shared" si="0"/>
        <v>3568000</v>
      </c>
      <c r="H4" s="14">
        <f t="shared" si="1"/>
        <v>525505.91993331676</v>
      </c>
      <c r="I4" s="14">
        <f t="shared" si="2"/>
        <v>3042494.0800666832</v>
      </c>
    </row>
    <row r="5" spans="1:9" ht="15.75" customHeight="1" x14ac:dyDescent="0.25">
      <c r="A5" s="7">
        <f t="shared" si="3"/>
        <v>2024</v>
      </c>
      <c r="B5" s="52">
        <v>494826.72879999981</v>
      </c>
      <c r="C5" s="53">
        <v>810000</v>
      </c>
      <c r="D5" s="53">
        <v>1298000</v>
      </c>
      <c r="E5" s="53">
        <v>933000</v>
      </c>
      <c r="F5" s="53">
        <v>635000</v>
      </c>
      <c r="G5" s="14">
        <f t="shared" si="0"/>
        <v>3676000</v>
      </c>
      <c r="H5" s="14">
        <f t="shared" si="1"/>
        <v>532096.34889359248</v>
      </c>
      <c r="I5" s="14">
        <f t="shared" si="2"/>
        <v>3143903.6511064074</v>
      </c>
    </row>
    <row r="6" spans="1:9" ht="15.75" customHeight="1" x14ac:dyDescent="0.25">
      <c r="A6" s="7">
        <f t="shared" si="3"/>
        <v>2025</v>
      </c>
      <c r="B6" s="52">
        <v>500864.18400000001</v>
      </c>
      <c r="C6" s="53">
        <v>829000</v>
      </c>
      <c r="D6" s="53">
        <v>1336000</v>
      </c>
      <c r="E6" s="53">
        <v>963000</v>
      </c>
      <c r="F6" s="53">
        <v>659000</v>
      </c>
      <c r="G6" s="14">
        <f t="shared" si="0"/>
        <v>3787000</v>
      </c>
      <c r="H6" s="14">
        <f t="shared" si="1"/>
        <v>538588.53632315877</v>
      </c>
      <c r="I6" s="14">
        <f t="shared" si="2"/>
        <v>3248411.463676841</v>
      </c>
    </row>
    <row r="7" spans="1:9" ht="15.75" customHeight="1" x14ac:dyDescent="0.25">
      <c r="A7" s="7">
        <f t="shared" si="3"/>
        <v>2026</v>
      </c>
      <c r="B7" s="52">
        <v>507080.33839999989</v>
      </c>
      <c r="C7" s="53">
        <v>848000</v>
      </c>
      <c r="D7" s="53">
        <v>1374000</v>
      </c>
      <c r="E7" s="53">
        <v>994000</v>
      </c>
      <c r="F7" s="53">
        <v>683000</v>
      </c>
      <c r="G7" s="14">
        <f t="shared" si="0"/>
        <v>3899000</v>
      </c>
      <c r="H7" s="14">
        <f t="shared" si="1"/>
        <v>545272.88231315813</v>
      </c>
      <c r="I7" s="14">
        <f t="shared" si="2"/>
        <v>3353727.1176868416</v>
      </c>
    </row>
    <row r="8" spans="1:9" ht="15.75" customHeight="1" x14ac:dyDescent="0.25">
      <c r="A8" s="7">
        <f t="shared" si="3"/>
        <v>2027</v>
      </c>
      <c r="B8" s="52">
        <v>513172.6544</v>
      </c>
      <c r="C8" s="53">
        <v>867000</v>
      </c>
      <c r="D8" s="53">
        <v>1412000</v>
      </c>
      <c r="E8" s="53">
        <v>1025000</v>
      </c>
      <c r="F8" s="53">
        <v>707000</v>
      </c>
      <c r="G8" s="14">
        <f t="shared" si="0"/>
        <v>4011000</v>
      </c>
      <c r="H8" s="14">
        <f t="shared" si="1"/>
        <v>551824.06257734378</v>
      </c>
      <c r="I8" s="14">
        <f t="shared" si="2"/>
        <v>3459175.9374226565</v>
      </c>
    </row>
    <row r="9" spans="1:9" ht="15.75" customHeight="1" x14ac:dyDescent="0.25">
      <c r="A9" s="7">
        <f t="shared" si="3"/>
        <v>2028</v>
      </c>
      <c r="B9" s="52">
        <v>519133.97879999992</v>
      </c>
      <c r="C9" s="53">
        <v>886000</v>
      </c>
      <c r="D9" s="53">
        <v>1451000</v>
      </c>
      <c r="E9" s="53">
        <v>1056000</v>
      </c>
      <c r="F9" s="53">
        <v>732000</v>
      </c>
      <c r="G9" s="14">
        <f t="shared" si="0"/>
        <v>4125000</v>
      </c>
      <c r="H9" s="14">
        <f t="shared" si="1"/>
        <v>558234.38514723128</v>
      </c>
      <c r="I9" s="14">
        <f t="shared" si="2"/>
        <v>3566765.6148527688</v>
      </c>
    </row>
    <row r="10" spans="1:9" ht="15.75" customHeight="1" x14ac:dyDescent="0.25">
      <c r="A10" s="7">
        <f t="shared" si="3"/>
        <v>2029</v>
      </c>
      <c r="B10" s="52">
        <v>524957.15839999996</v>
      </c>
      <c r="C10" s="53">
        <v>905000</v>
      </c>
      <c r="D10" s="53">
        <v>1492000</v>
      </c>
      <c r="E10" s="53">
        <v>1089000</v>
      </c>
      <c r="F10" s="53">
        <v>758000</v>
      </c>
      <c r="G10" s="14">
        <f t="shared" si="0"/>
        <v>4244000</v>
      </c>
      <c r="H10" s="14">
        <f t="shared" si="1"/>
        <v>564496.15805433702</v>
      </c>
      <c r="I10" s="14">
        <f t="shared" si="2"/>
        <v>3679503.8419456631</v>
      </c>
    </row>
    <row r="11" spans="1:9" ht="15.75" customHeight="1" x14ac:dyDescent="0.25">
      <c r="A11" s="7">
        <f t="shared" si="3"/>
        <v>2030</v>
      </c>
      <c r="B11" s="52">
        <v>530604.94499999995</v>
      </c>
      <c r="C11" s="53">
        <v>924000</v>
      </c>
      <c r="D11" s="53">
        <v>1532000</v>
      </c>
      <c r="E11" s="53">
        <v>1123000</v>
      </c>
      <c r="F11" s="53">
        <v>786000</v>
      </c>
      <c r="G11" s="14">
        <f t="shared" si="0"/>
        <v>4365000</v>
      </c>
      <c r="H11" s="14">
        <f t="shared" si="1"/>
        <v>570569.32761912188</v>
      </c>
      <c r="I11" s="14">
        <f t="shared" si="2"/>
        <v>3794430.6723808781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B4gqvGEJUZ9uqSd+X61Rrcq3pWFyv2dHNyJZ/wwknPRamRwjSUmGI09AhrgOG5m88n3FN2aIFMtI5BeLLyo7fg==" saltValue="LwFyO780wi81mUL21efUe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bNum8kFKlVVMpFmk+15XH5aS/eIzvgNOW+FelQWvFv4AsF1jo715DPBRnxO44eVQ1Ok+azoT4wbvC9nE0Sv5Q==" saltValue="7/R/id+aog5EsdP/ot+L4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hEvgnmYIHwTJ9qGaxfyTHHGpvLCGVoIpCSqlSXlsoaRDJY/7I9b6sxeyaxDA//B223zBkVzT9hK32+1+2mk7dA==" saltValue="BlOtHnQVieBapEiMY2dK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ZiZUTGWE4pnRI/Ve/Bu3y6ZuIkXxvnQj+F47J+1r5HtS+WtBm5tjl45QuWsReja8ejp3c/jfKwaDKITil8Y1Q==" saltValue="HXOKYP6kE8rOF3HOQrY0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EapLyWHNKB8w8/GUqwvtcPNWRAVK0Z3dbY7oqXInY7VfiVlm/bX2p9HMKx2cPOmz23o1p3LzcZeuGRbVrgtqQ==" saltValue="moB3+MdtrhOEFUy4YsYi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sk1niMa4j1k9kFeUCPM4SrMgn0H7vY92e/DjygHZ4mUAV+w2GsSlFfFGsREqVFre8ZuMezSVIUb4O1Q+s2baQ==" saltValue="6RMYE0c5E3fLOCTo4pfT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blK6AFNYdWgjwrpaRtvHUxx4yMhTgIdQk0ey+DzzA0W1cm327d81aThcc+yj/r9p2yfk+swZP6hgl92QUYq2w==" saltValue="bUtefQo32w4OYNVb67Xe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LeuRwpOkgBnsHYBmg48SL2g+kt35ZVz0LKiXUc/GpNt3Qq8QHUXKaazJM+iheytRTHCNXkb4jfLTxVtJT0rTg==" saltValue="flUyMFEIx5++Nfkw2h/m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qvtq9YZ1pmrUYElaHOX+qXZszW80qnhgUZp2hPgpxnaqp+VTkpr8xnHKQBVVNfQYp5fdCOPQmB67viiDctht5Q==" saltValue="InIFP2989q8Fp17UmMEe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CYqXQ1Q6Z0Eyxyj+Kx5Dn/QxfxyRoVM6/1PQGt3Aa0VBmKLtzyiH8ss39lRe7C1YAvvfOQzuwhP3hFljn7d2zg==" saltValue="Le8eyxprRBigKhlb+iaB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3.8567301572483962E-3</v>
      </c>
    </row>
    <row r="4" spans="1:8" ht="15.75" customHeight="1" x14ac:dyDescent="0.25">
      <c r="B4" s="16" t="s">
        <v>79</v>
      </c>
      <c r="C4" s="54">
        <v>0.18385578804925301</v>
      </c>
    </row>
    <row r="5" spans="1:8" ht="15.75" customHeight="1" x14ac:dyDescent="0.25">
      <c r="B5" s="16" t="s">
        <v>80</v>
      </c>
      <c r="C5" s="54">
        <v>7.1126700804081289E-2</v>
      </c>
    </row>
    <row r="6" spans="1:8" ht="15.75" customHeight="1" x14ac:dyDescent="0.25">
      <c r="B6" s="16" t="s">
        <v>81</v>
      </c>
      <c r="C6" s="54">
        <v>0.30847631881574611</v>
      </c>
    </row>
    <row r="7" spans="1:8" ht="15.75" customHeight="1" x14ac:dyDescent="0.25">
      <c r="B7" s="16" t="s">
        <v>82</v>
      </c>
      <c r="C7" s="54">
        <v>0.268402707109134</v>
      </c>
    </row>
    <row r="8" spans="1:8" ht="15.75" customHeight="1" x14ac:dyDescent="0.25">
      <c r="B8" s="16" t="s">
        <v>83</v>
      </c>
      <c r="C8" s="54">
        <v>7.1746263396192354E-3</v>
      </c>
    </row>
    <row r="9" spans="1:8" ht="15.75" customHeight="1" x14ac:dyDescent="0.25">
      <c r="B9" s="16" t="s">
        <v>84</v>
      </c>
      <c r="C9" s="54">
        <v>7.3449851184533302E-2</v>
      </c>
    </row>
    <row r="10" spans="1:8" ht="15.75" customHeight="1" x14ac:dyDescent="0.25">
      <c r="B10" s="16" t="s">
        <v>85</v>
      </c>
      <c r="C10" s="54">
        <v>8.3657277540384906E-2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0.1207922878189964</v>
      </c>
      <c r="D14" s="54">
        <v>0.1207922878189964</v>
      </c>
      <c r="E14" s="54">
        <v>0.1207922878189964</v>
      </c>
      <c r="F14" s="54">
        <v>0.1207922878189964</v>
      </c>
    </row>
    <row r="15" spans="1:8" ht="15.75" customHeight="1" x14ac:dyDescent="0.25">
      <c r="B15" s="16" t="s">
        <v>88</v>
      </c>
      <c r="C15" s="54">
        <v>0.22657811885152371</v>
      </c>
      <c r="D15" s="54">
        <v>0.22657811885152371</v>
      </c>
      <c r="E15" s="54">
        <v>0.22657811885152371</v>
      </c>
      <c r="F15" s="54">
        <v>0.22657811885152371</v>
      </c>
    </row>
    <row r="16" spans="1:8" ht="15.75" customHeight="1" x14ac:dyDescent="0.25">
      <c r="B16" s="16" t="s">
        <v>89</v>
      </c>
      <c r="C16" s="54">
        <v>4.0977695126081917E-2</v>
      </c>
      <c r="D16" s="54">
        <v>4.0977695126081917E-2</v>
      </c>
      <c r="E16" s="54">
        <v>4.0977695126081917E-2</v>
      </c>
      <c r="F16" s="54">
        <v>4.0977695126081917E-2</v>
      </c>
    </row>
    <row r="17" spans="1:8" ht="15.75" customHeight="1" x14ac:dyDescent="0.25">
      <c r="B17" s="16" t="s">
        <v>90</v>
      </c>
      <c r="C17" s="54">
        <v>4.817557717551206E-2</v>
      </c>
      <c r="D17" s="54">
        <v>4.817557717551206E-2</v>
      </c>
      <c r="E17" s="54">
        <v>4.817557717551206E-2</v>
      </c>
      <c r="F17" s="54">
        <v>4.817557717551206E-2</v>
      </c>
    </row>
    <row r="18" spans="1:8" ht="15.75" customHeight="1" x14ac:dyDescent="0.25">
      <c r="B18" s="16" t="s">
        <v>91</v>
      </c>
      <c r="C18" s="54">
        <v>0.22705297909323749</v>
      </c>
      <c r="D18" s="54">
        <v>0.22705297909323749</v>
      </c>
      <c r="E18" s="54">
        <v>0.22705297909323749</v>
      </c>
      <c r="F18" s="54">
        <v>0.22705297909323749</v>
      </c>
    </row>
    <row r="19" spans="1:8" ht="15.75" customHeight="1" x14ac:dyDescent="0.25">
      <c r="B19" s="16" t="s">
        <v>92</v>
      </c>
      <c r="C19" s="54">
        <v>1.8222052480891478E-2</v>
      </c>
      <c r="D19" s="54">
        <v>1.8222052480891478E-2</v>
      </c>
      <c r="E19" s="54">
        <v>1.8222052480891478E-2</v>
      </c>
      <c r="F19" s="54">
        <v>1.8222052480891478E-2</v>
      </c>
    </row>
    <row r="20" spans="1:8" ht="15.75" customHeight="1" x14ac:dyDescent="0.25">
      <c r="B20" s="16" t="s">
        <v>93</v>
      </c>
      <c r="C20" s="54">
        <v>1.5761349705215422E-2</v>
      </c>
      <c r="D20" s="54">
        <v>1.5761349705215422E-2</v>
      </c>
      <c r="E20" s="54">
        <v>1.5761349705215422E-2</v>
      </c>
      <c r="F20" s="54">
        <v>1.5761349705215422E-2</v>
      </c>
    </row>
    <row r="21" spans="1:8" ht="15.75" customHeight="1" x14ac:dyDescent="0.25">
      <c r="B21" s="16" t="s">
        <v>94</v>
      </c>
      <c r="C21" s="54">
        <v>7.0963165160879055E-2</v>
      </c>
      <c r="D21" s="54">
        <v>7.0963165160879055E-2</v>
      </c>
      <c r="E21" s="54">
        <v>7.0963165160879055E-2</v>
      </c>
      <c r="F21" s="54">
        <v>7.0963165160879055E-2</v>
      </c>
    </row>
    <row r="22" spans="1:8" ht="15.75" customHeight="1" x14ac:dyDescent="0.25">
      <c r="B22" s="16" t="s">
        <v>95</v>
      </c>
      <c r="C22" s="54">
        <v>0.2314767745876623</v>
      </c>
      <c r="D22" s="54">
        <v>0.2314767745876623</v>
      </c>
      <c r="E22" s="54">
        <v>0.2314767745876623</v>
      </c>
      <c r="F22" s="54">
        <v>0.2314767745876623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8.8200000000000001E-2</v>
      </c>
    </row>
    <row r="27" spans="1:8" ht="15.75" customHeight="1" x14ac:dyDescent="0.25">
      <c r="B27" s="16" t="s">
        <v>102</v>
      </c>
      <c r="C27" s="54">
        <v>8.6E-3</v>
      </c>
    </row>
    <row r="28" spans="1:8" ht="15.75" customHeight="1" x14ac:dyDescent="0.25">
      <c r="B28" s="16" t="s">
        <v>103</v>
      </c>
      <c r="C28" s="54">
        <v>0.15620000000000001</v>
      </c>
    </row>
    <row r="29" spans="1:8" ht="15.75" customHeight="1" x14ac:dyDescent="0.25">
      <c r="B29" s="16" t="s">
        <v>104</v>
      </c>
      <c r="C29" s="54">
        <v>0.16930000000000001</v>
      </c>
    </row>
    <row r="30" spans="1:8" ht="15.75" customHeight="1" x14ac:dyDescent="0.25">
      <c r="B30" s="16" t="s">
        <v>2</v>
      </c>
      <c r="C30" s="54">
        <v>0.1055</v>
      </c>
    </row>
    <row r="31" spans="1:8" ht="15.75" customHeight="1" x14ac:dyDescent="0.25">
      <c r="B31" s="16" t="s">
        <v>105</v>
      </c>
      <c r="C31" s="54">
        <v>0.1099</v>
      </c>
    </row>
    <row r="32" spans="1:8" ht="15.75" customHeight="1" x14ac:dyDescent="0.25">
      <c r="B32" s="16" t="s">
        <v>106</v>
      </c>
      <c r="C32" s="54">
        <v>1.8700000000000001E-2</v>
      </c>
    </row>
    <row r="33" spans="2:3" ht="15.75" customHeight="1" x14ac:dyDescent="0.25">
      <c r="B33" s="16" t="s">
        <v>107</v>
      </c>
      <c r="C33" s="54">
        <v>8.4700000000000011E-2</v>
      </c>
    </row>
    <row r="34" spans="2:3" ht="15.75" customHeight="1" x14ac:dyDescent="0.25">
      <c r="B34" s="16" t="s">
        <v>108</v>
      </c>
      <c r="C34" s="54">
        <v>0.25889999999776481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SvIeMornSoulMGWLZe8JiozThEncrAugQe/w59Y6JXAHrB+8yYph/tVt1+PMDhL1tNCpGn0ztMhbVRMvTuzIxw==" saltValue="bgipP0QhIuE1kXHgkEJnr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0.64736609999999994</v>
      </c>
      <c r="D2" s="55">
        <v>0.64736609999999994</v>
      </c>
      <c r="E2" s="55">
        <v>0.56301285000000001</v>
      </c>
      <c r="F2" s="55">
        <v>0.43151493000000002</v>
      </c>
      <c r="G2" s="55">
        <v>0.41528937999999999</v>
      </c>
    </row>
    <row r="3" spans="1:15" ht="15.75" customHeight="1" x14ac:dyDescent="0.25">
      <c r="B3" s="7" t="s">
        <v>113</v>
      </c>
      <c r="C3" s="55">
        <v>0.15567656999999999</v>
      </c>
      <c r="D3" s="55">
        <v>0.15567656999999999</v>
      </c>
      <c r="E3" s="55">
        <v>0.21245974000000001</v>
      </c>
      <c r="F3" s="55">
        <v>0.21856802</v>
      </c>
      <c r="G3" s="55">
        <v>0.25314215000000001</v>
      </c>
    </row>
    <row r="4" spans="1:15" ht="15.75" customHeight="1" x14ac:dyDescent="0.25">
      <c r="B4" s="7" t="s">
        <v>114</v>
      </c>
      <c r="C4" s="56">
        <v>0.10408557</v>
      </c>
      <c r="D4" s="56">
        <v>0.10408557</v>
      </c>
      <c r="E4" s="56">
        <v>0.12017131</v>
      </c>
      <c r="F4" s="56">
        <v>0.17670057</v>
      </c>
      <c r="G4" s="56">
        <v>0.19384651</v>
      </c>
    </row>
    <row r="5" spans="1:15" ht="15.75" customHeight="1" x14ac:dyDescent="0.25">
      <c r="B5" s="7" t="s">
        <v>115</v>
      </c>
      <c r="C5" s="56">
        <v>9.2871732999999998E-2</v>
      </c>
      <c r="D5" s="56">
        <v>9.2871732999999998E-2</v>
      </c>
      <c r="E5" s="56">
        <v>0.10435609999999999</v>
      </c>
      <c r="F5" s="56">
        <v>0.17321645999999999</v>
      </c>
      <c r="G5" s="56">
        <v>0.13772196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0.70548264000000005</v>
      </c>
      <c r="D8" s="55">
        <v>0.70548264000000005</v>
      </c>
      <c r="E8" s="55">
        <v>0.72444702000000005</v>
      </c>
      <c r="F8" s="55">
        <v>0.70245391999999995</v>
      </c>
      <c r="G8" s="55">
        <v>0.76994552999999999</v>
      </c>
    </row>
    <row r="9" spans="1:15" ht="15.75" customHeight="1" x14ac:dyDescent="0.25">
      <c r="B9" s="7" t="s">
        <v>118</v>
      </c>
      <c r="C9" s="55">
        <v>0.16028027</v>
      </c>
      <c r="D9" s="55">
        <v>0.16028027</v>
      </c>
      <c r="E9" s="55">
        <v>0.17753811</v>
      </c>
      <c r="F9" s="55">
        <v>0.20772488</v>
      </c>
      <c r="G9" s="55">
        <v>0.14890379000000001</v>
      </c>
    </row>
    <row r="10" spans="1:15" ht="15.75" customHeight="1" x14ac:dyDescent="0.25">
      <c r="B10" s="7" t="s">
        <v>119</v>
      </c>
      <c r="C10" s="56">
        <v>8.0077143000000003E-2</v>
      </c>
      <c r="D10" s="56">
        <v>8.0077143000000003E-2</v>
      </c>
      <c r="E10" s="56">
        <v>5.4574961999999998E-2</v>
      </c>
      <c r="F10" s="56">
        <v>5.8409919999999997E-2</v>
      </c>
      <c r="G10" s="56">
        <v>4.8628082000000003E-2</v>
      </c>
    </row>
    <row r="11" spans="1:15" ht="15.75" customHeight="1" x14ac:dyDescent="0.25">
      <c r="B11" s="7" t="s">
        <v>120</v>
      </c>
      <c r="C11" s="56">
        <v>5.4159932000000001E-2</v>
      </c>
      <c r="D11" s="56">
        <v>5.4159932000000001E-2</v>
      </c>
      <c r="E11" s="56">
        <v>4.3439946E-2</v>
      </c>
      <c r="F11" s="56">
        <v>3.1411284999999997E-2</v>
      </c>
      <c r="G11" s="56">
        <v>3.2522659000000002E-2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0.80740865400000006</v>
      </c>
      <c r="D14" s="57">
        <v>0.79280759528</v>
      </c>
      <c r="E14" s="57">
        <v>0.79280759528</v>
      </c>
      <c r="F14" s="57">
        <v>0.78136551429400003</v>
      </c>
      <c r="G14" s="57">
        <v>0.78136551429400003</v>
      </c>
      <c r="H14" s="58">
        <v>0.40799999999999997</v>
      </c>
      <c r="I14" s="58">
        <v>0.62256415478615079</v>
      </c>
      <c r="J14" s="58">
        <v>0.64900000000000002</v>
      </c>
      <c r="K14" s="58">
        <v>0.68204480651731159</v>
      </c>
      <c r="L14" s="58">
        <v>0.40056053896499999</v>
      </c>
      <c r="M14" s="58">
        <v>0.37274846420800001</v>
      </c>
      <c r="N14" s="58">
        <v>0.36532185598849998</v>
      </c>
      <c r="O14" s="58">
        <v>0.3935538153575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0.3327498877788414</v>
      </c>
      <c r="D15" s="55">
        <f t="shared" si="0"/>
        <v>0.32673248800678956</v>
      </c>
      <c r="E15" s="55">
        <f t="shared" si="0"/>
        <v>0.32673248800678956</v>
      </c>
      <c r="F15" s="55">
        <f t="shared" si="0"/>
        <v>0.32201696861622342</v>
      </c>
      <c r="G15" s="55">
        <f t="shared" si="0"/>
        <v>0.32201696861622342</v>
      </c>
      <c r="H15" s="55">
        <f t="shared" si="0"/>
        <v>0.16814528001549914</v>
      </c>
      <c r="I15" s="55">
        <f t="shared" si="0"/>
        <v>0.25657162777973008</v>
      </c>
      <c r="J15" s="55">
        <f t="shared" si="0"/>
        <v>0.26746638904426218</v>
      </c>
      <c r="K15" s="55">
        <f t="shared" si="0"/>
        <v>0.28108484062492722</v>
      </c>
      <c r="L15" s="55">
        <f t="shared" si="0"/>
        <v>0.16507932349860094</v>
      </c>
      <c r="M15" s="55">
        <f t="shared" si="0"/>
        <v>0.15361738943529762</v>
      </c>
      <c r="N15" s="55">
        <f t="shared" si="0"/>
        <v>0.15055672983080437</v>
      </c>
      <c r="O15" s="55">
        <f t="shared" si="0"/>
        <v>0.16219170706974237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nhBSOBD4KRrowVFNVuSkYq9b6O2e0DRgaVEiFg8khrkQdhAVXNYiNQ2nu3F8Z+xNg2B8ptYBNABJJRA0iajOA==" saltValue="3XRS4pw8s2LPUX9XOGY7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0.45601320000000001</v>
      </c>
      <c r="D2" s="56">
        <v>0.2905181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0.3316151</v>
      </c>
      <c r="D3" s="56">
        <v>0.38545059999999998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0.1414513</v>
      </c>
      <c r="D4" s="56">
        <v>0.24034440000000001</v>
      </c>
      <c r="E4" s="56">
        <v>0.97679674625396695</v>
      </c>
      <c r="F4" s="56">
        <v>0.79694944620132402</v>
      </c>
      <c r="G4" s="56">
        <v>0</v>
      </c>
    </row>
    <row r="5" spans="1:7" x14ac:dyDescent="0.25">
      <c r="B5" s="98" t="s">
        <v>132</v>
      </c>
      <c r="C5" s="55">
        <v>7.0920399999999995E-2</v>
      </c>
      <c r="D5" s="55">
        <v>8.3686900000000009E-2</v>
      </c>
      <c r="E5" s="55">
        <v>2.3203253746032999E-2</v>
      </c>
      <c r="F5" s="55">
        <v>0.20305055379867601</v>
      </c>
      <c r="G5" s="55">
        <v>1</v>
      </c>
    </row>
  </sheetData>
  <sheetProtection algorithmName="SHA-512" hashValue="PzjQ82xjZeE3EoERzD2PiI53ci8ZqoB/71vLuvKb5cOhapoo/JWm0RvOKAITxFH0pab1dPAmxTGaniCBGykZ3Q==" saltValue="Y21SNIz+CIIXevyyh9YIB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wWUrqmOkjPXFVswcMp08smzpRFdgjcSO5nO6zk2PhQ1SAQjfXg83fMW92r2PTY3JDL1o6bPno4XoZmj2EqQMcA==" saltValue="+u6yZtBDxhiKxb3W6EAKZ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hHPLH0uLNMZgpsskyfMVu9SSsdmTYNbfxSXlUbINxT0ZOhR4/rzMEuSOrXbhAIyVmagmIhvHyX70rd5Tz2wn7Q==" saltValue="gEB6/WBvJg0nGGyYr7tV9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MMcNS0yptBYuBohSQwoa/U3Ugzn5Z5gh6m7zHotRS4b82xZhB8SBnsl1HYgjGmvCkv/Md9MmwM5zCDGr+/pyEw==" saltValue="qAniZkZvovU6212Wf6xR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G6HLKNB1SMSf7tNAj8l3maQ1iIQdOaz/RgfM7Q/o/N35i0ZBWWI8lLNAhUK4vZFJZd4cgNqwHCC8Lr/Z6Qa4eA==" saltValue="qTgyakdaSEbN879noS90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2022-02-01T04:03:52Z</dcterms:modified>
</cp:coreProperties>
</file>