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F7D2B55D-2015-4BE3-A1B9-D4ADB2A1A707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A39" i="2"/>
  <c r="H38" i="2"/>
  <c r="I38" i="2" s="1"/>
  <c r="G38" i="2"/>
  <c r="A35" i="2"/>
  <c r="A33" i="2"/>
  <c r="A31" i="2"/>
  <c r="A30" i="2"/>
  <c r="A29" i="2"/>
  <c r="A25" i="2"/>
  <c r="A22" i="2"/>
  <c r="A21" i="2"/>
  <c r="A19" i="2"/>
  <c r="A18" i="2"/>
  <c r="A14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  <c r="A2" i="2"/>
  <c r="A32" i="2" s="1"/>
  <c r="C33" i="1"/>
  <c r="C20" i="1"/>
  <c r="I2" i="2" l="1"/>
  <c r="I6" i="2"/>
  <c r="I10" i="2"/>
  <c r="I3" i="2"/>
  <c r="I7" i="2"/>
  <c r="I11" i="2"/>
  <c r="I4" i="2"/>
  <c r="I8" i="2"/>
  <c r="A13" i="2"/>
  <c r="A23" i="2"/>
  <c r="A34" i="2"/>
  <c r="I5" i="2"/>
  <c r="I9" i="2"/>
  <c r="A15" i="2"/>
  <c r="A26" i="2"/>
  <c r="A37" i="2"/>
  <c r="A17" i="2"/>
  <c r="A27" i="2"/>
  <c r="A38" i="2"/>
  <c r="A40" i="2"/>
  <c r="A12" i="2"/>
  <c r="A20" i="2"/>
  <c r="A28" i="2"/>
  <c r="A36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<sst xmlns="http://schemas.openxmlformats.org/spreadsheetml/2006/main" count="2092" uniqueCount="337">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</sst>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35019.31469726564</v>
      </c>
    </row>
    <row r="8" spans="1:3" ht="15" customHeight="1" x14ac:dyDescent="0.25">
      <c r="B8" s="7" t="s">
        <v>19</v>
      </c>
      <c r="C8" s="46">
        <v>8.199999999999999E-2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0.59512580869999998</v>
      </c>
    </row>
    <row r="11" spans="1:3" ht="15" customHeight="1" x14ac:dyDescent="0.25">
      <c r="B11" s="7" t="s">
        <v>22</v>
      </c>
      <c r="C11" s="46">
        <v>0.85099999999999998</v>
      </c>
    </row>
    <row r="12" spans="1:3" ht="15" customHeight="1" x14ac:dyDescent="0.25">
      <c r="B12" s="7" t="s">
        <v>23</v>
      </c>
      <c r="C12" s="46">
        <v>0.74099999999999999</v>
      </c>
    </row>
    <row r="13" spans="1:3" ht="15" customHeight="1" x14ac:dyDescent="0.25">
      <c r="B13" s="7" t="s">
        <v>24</v>
      </c>
      <c r="C13" s="46">
        <v>0.57299999999999995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4.9799999999999997E-2</v>
      </c>
    </row>
    <row r="24" spans="1:3" ht="15" customHeight="1" x14ac:dyDescent="0.25">
      <c r="B24" s="12" t="s">
        <v>33</v>
      </c>
      <c r="C24" s="47">
        <v>0.55979999999999996</v>
      </c>
    </row>
    <row r="25" spans="1:3" ht="15" customHeight="1" x14ac:dyDescent="0.25">
      <c r="B25" s="12" t="s">
        <v>34</v>
      </c>
      <c r="C25" s="47">
        <v>0.36509999999999998</v>
      </c>
    </row>
    <row r="26" spans="1:3" ht="15" customHeight="1" x14ac:dyDescent="0.25">
      <c r="B26" s="12" t="s">
        <v>35</v>
      </c>
      <c r="C26" s="47">
        <v>2.53E-2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0.41899999999999998</v>
      </c>
    </row>
    <row r="30" spans="1:3" ht="14.25" customHeight="1" x14ac:dyDescent="0.25">
      <c r="B30" s="22" t="s">
        <v>38</v>
      </c>
      <c r="C30" s="49">
        <v>3.1E-2</v>
      </c>
    </row>
    <row r="31" spans="1:3" ht="14.25" customHeight="1" x14ac:dyDescent="0.25">
      <c r="B31" s="22" t="s">
        <v>39</v>
      </c>
      <c r="C31" s="49">
        <v>5.5999999999999987E-2</v>
      </c>
    </row>
    <row r="32" spans="1:3" ht="14.25" customHeight="1" x14ac:dyDescent="0.25">
      <c r="B32" s="22" t="s">
        <v>40</v>
      </c>
      <c r="C32" s="49">
        <v>0.49399999999999999</v>
      </c>
    </row>
    <row r="33" spans="1:5" ht="13.2" customHeight="1" x14ac:dyDescent="0.25">
      <c r="B33" s="24" t="s">
        <v>41</v>
      </c>
      <c r="C33" s="50">
        <f>SUM(C29:C32)</f>
        <v>0.99999999999999989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4.9259628434581204</v>
      </c>
    </row>
    <row r="38" spans="1:5" ht="15" customHeight="1" x14ac:dyDescent="0.25">
      <c r="B38" s="28" t="s">
        <v>45</v>
      </c>
      <c r="C38" s="117">
        <v>6.5156473853627501</v>
      </c>
      <c r="D38" s="9"/>
      <c r="E38" s="10"/>
    </row>
    <row r="39" spans="1:5" ht="15" customHeight="1" x14ac:dyDescent="0.25">
      <c r="B39" s="28" t="s">
        <v>46</v>
      </c>
      <c r="C39" s="117">
        <v>7.6174135059949801</v>
      </c>
      <c r="D39" s="9"/>
      <c r="E39" s="9"/>
    </row>
    <row r="40" spans="1:5" ht="15" customHeight="1" x14ac:dyDescent="0.25">
      <c r="B40" s="28" t="s">
        <v>47</v>
      </c>
      <c r="C40" s="117">
        <v>53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5.7887200759999997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1.68273E-2</v>
      </c>
      <c r="D45" s="9"/>
    </row>
    <row r="46" spans="1:5" ht="15.75" customHeight="1" x14ac:dyDescent="0.25">
      <c r="B46" s="28" t="s">
        <v>52</v>
      </c>
      <c r="C46" s="47">
        <v>6.2211489999999987E-2</v>
      </c>
      <c r="D46" s="9"/>
    </row>
    <row r="47" spans="1:5" ht="15.75" customHeight="1" x14ac:dyDescent="0.25">
      <c r="B47" s="28" t="s">
        <v>53</v>
      </c>
      <c r="C47" s="47">
        <v>0.17060520000000001</v>
      </c>
      <c r="D47" s="9"/>
      <c r="E47" s="10"/>
    </row>
    <row r="48" spans="1:5" ht="15" customHeight="1" x14ac:dyDescent="0.25">
      <c r="B48" s="28" t="s">
        <v>54</v>
      </c>
      <c r="C48" s="48">
        <v>0.75035600999999996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2.4</v>
      </c>
      <c r="D51" s="9"/>
    </row>
    <row r="52" spans="1:4" ht="15" customHeight="1" x14ac:dyDescent="0.25">
      <c r="B52" s="28" t="s">
        <v>57</v>
      </c>
      <c r="C52" s="51">
        <v>2.4</v>
      </c>
    </row>
    <row r="53" spans="1:4" ht="15.75" customHeight="1" x14ac:dyDescent="0.25">
      <c r="B53" s="28" t="s">
        <v>58</v>
      </c>
      <c r="C53" s="51">
        <v>2.4</v>
      </c>
    </row>
    <row r="54" spans="1:4" ht="15.75" customHeight="1" x14ac:dyDescent="0.25">
      <c r="B54" s="28" t="s">
        <v>59</v>
      </c>
      <c r="C54" s="51">
        <v>2.4</v>
      </c>
    </row>
    <row r="55" spans="1:4" ht="15.75" customHeight="1" x14ac:dyDescent="0.25">
      <c r="B55" s="28" t="s">
        <v>60</v>
      </c>
      <c r="C55" s="51">
        <v>2.4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2.1759475900795511E-2</v>
      </c>
    </row>
    <row r="59" spans="1:4" ht="15.75" customHeight="1" x14ac:dyDescent="0.25">
      <c r="B59" s="28" t="s">
        <v>63</v>
      </c>
      <c r="C59" s="46">
        <v>0.55836361880873919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11.7179129999999</v>
      </c>
    </row>
    <row r="63" spans="1:4" ht="15.75" customHeight="1" x14ac:dyDescent="0.25">
      <c r="A63" s="39"/>
    </row>
  </sheetData>
  <sheetProtection algorithmName="SHA-512" hashValue="i76p1NXqb82n6IqzOO0klLcudX0KAsfLg+bIjNdocjZZ/y1fhE1Tj8/J7IR8zUsrICyjU1Xnptzv7rH+zU9IlA==" saltValue="rmmgtjU8cjpHlNzT03Xm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0.19673955396831999</v>
      </c>
      <c r="C2" s="115">
        <v>0.95</v>
      </c>
      <c r="D2" s="116">
        <v>94.586213594378066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40.699506896759281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987.5278427956996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7.0964877118934746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13.83180634055519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13.83180634055519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13.83180634055519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13.83180634055519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13.83180634055519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13.83180634055519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1.538572140450539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0.7137907</v>
      </c>
      <c r="C18" s="115">
        <v>0.95</v>
      </c>
      <c r="D18" s="116">
        <v>22.59355597690848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0.7137907</v>
      </c>
      <c r="C19" s="115">
        <v>0.95</v>
      </c>
      <c r="D19" s="116">
        <v>22.59355597690848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0.94481589999999993</v>
      </c>
      <c r="C21" s="115">
        <v>0.95</v>
      </c>
      <c r="D21" s="116">
        <v>89.248141599385079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24.299027096709931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4.7916044727007323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0.70702472876959011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0.46280009999999999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19.508595698257331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0.48344549999999997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0.52700000000000002</v>
      </c>
      <c r="C29" s="115">
        <v>0.95</v>
      </c>
      <c r="D29" s="116">
        <v>197.08344135615161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2.1314125469028462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3.387837434899573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9.0976219179999998E-2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0.47802811546183699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0.95802862936675892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2.7208464683869868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0.99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fr8DLallzeGlm4PxxLg36DgdBDaV+RS72364Qhh6UDj/j9sUkt747JF6dToPyNaHQ9SeMbCHe2FBz6dfgF+MvQ==" saltValue="Rm4E4n7KyxwcT3pZqBzC4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pERWUcv0HJ+FP3Pv770R0eOSCcDfDe8pDbRZ3WaXHmpVUeZp7cGo3HRXKOri7Fhy/ZJEmI9pMfcvMhLpvq4hSQ==" saltValue="ybbVZM26Y//AFAw60RVZT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NuoI1eKV1BapvsMymVgRbDehFVA6uo2NpclXx5O2KqmT/J6lXckpbcDAGzTPrnGFs8xXFt5ClYwruZoAsYgqOw==" saltValue="ALEmANypzPh4eRRHJYUQM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2.4</v>
      </c>
      <c r="C2" s="18">
        <f>'Donnees pop de l''annee de ref'!C52</f>
        <v>2.4</v>
      </c>
      <c r="D2" s="18">
        <f>'Donnees pop de l''annee de ref'!C53</f>
        <v>2.4</v>
      </c>
      <c r="E2" s="18">
        <f>'Donnees pop de l''annee de ref'!C54</f>
        <v>2.4</v>
      </c>
      <c r="F2" s="18">
        <f>'Donnees pop de l''annee de ref'!C55</f>
        <v>2.4</v>
      </c>
    </row>
    <row r="3" spans="1:6" ht="15.75" customHeight="1" x14ac:dyDescent="0.25">
      <c r="A3" s="4" t="s">
        <v>209</v>
      </c>
      <c r="B3" s="18">
        <f>frac_mam_1month * 2.6</f>
        <v>0.10856951400637629</v>
      </c>
      <c r="C3" s="18">
        <f>frac_mam_1_5months * 2.6</f>
        <v>0.10856951400637629</v>
      </c>
      <c r="D3" s="18">
        <f>frac_mam_6_11months * 2.6</f>
        <v>0.12356716915965088</v>
      </c>
      <c r="E3" s="18">
        <f>frac_mam_12_23months * 2.6</f>
        <v>0.10578526630997651</v>
      </c>
      <c r="F3" s="18">
        <f>frac_mam_24_59months * 2.6</f>
        <v>0.2318267583847046</v>
      </c>
    </row>
    <row r="4" spans="1:6" ht="15.75" customHeight="1" x14ac:dyDescent="0.25">
      <c r="A4" s="4" t="s">
        <v>208</v>
      </c>
      <c r="B4" s="18">
        <f>frac_sam_1month * 2.6</f>
        <v>0.15575967356562626</v>
      </c>
      <c r="C4" s="18">
        <f>frac_sam_1_5months * 2.6</f>
        <v>0.15575967356562626</v>
      </c>
      <c r="D4" s="18">
        <f>frac_sam_6_11months * 2.6</f>
        <v>6.4411664009094219E-2</v>
      </c>
      <c r="E4" s="18">
        <f>frac_sam_12_23months * 2.6</f>
        <v>1.8292856682091942E-2</v>
      </c>
      <c r="F4" s="18">
        <f>frac_sam_24_59months * 2.6</f>
        <v>4.5791764184832641E-2</v>
      </c>
    </row>
  </sheetData>
  <sheetProtection algorithmName="SHA-512" hashValue="Fbq0+NHpxfG/Ol7dE4rnSPbD3bE/h5/7oeJcbwupZM+ROZ94SFItqqC0zkFEiY5omWRG2+v+WUIs/OTn1Y13Sg==" saltValue="2G5fjYFQauSssmihrIrxt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8.199999999999999E-2</v>
      </c>
      <c r="E2" s="65">
        <f>food_insecure</f>
        <v>8.199999999999999E-2</v>
      </c>
      <c r="F2" s="65">
        <f>food_insecure</f>
        <v>8.199999999999999E-2</v>
      </c>
      <c r="G2" s="65">
        <f>food_insecure</f>
        <v>8.199999999999999E-2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8.199999999999999E-2</v>
      </c>
      <c r="F5" s="65">
        <f>food_insecure</f>
        <v>8.199999999999999E-2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5.2222742161909225E-2</v>
      </c>
      <c r="D7" s="65">
        <f>diarrhoea_1_5mo*frac_diarrhea_severe</f>
        <v>5.2222742161909225E-2</v>
      </c>
      <c r="E7" s="65">
        <f>diarrhoea_6_11mo*frac_diarrhea_severe</f>
        <v>5.2222742161909225E-2</v>
      </c>
      <c r="F7" s="65">
        <f>diarrhoea_12_23mo*frac_diarrhea_severe</f>
        <v>5.2222742161909225E-2</v>
      </c>
      <c r="G7" s="65">
        <f>diarrhoea_24_59mo*frac_diarrhea_severe</f>
        <v>5.2222742161909225E-2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8.199999999999999E-2</v>
      </c>
      <c r="F8" s="65">
        <f>food_insecure</f>
        <v>8.199999999999999E-2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8.199999999999999E-2</v>
      </c>
      <c r="F9" s="65">
        <f>food_insecure</f>
        <v>8.199999999999999E-2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0.74099999999999999</v>
      </c>
      <c r="E10" s="65">
        <f>IF(ISBLANK(comm_deliv), frac_children_health_facility,1)</f>
        <v>0.74099999999999999</v>
      </c>
      <c r="F10" s="65">
        <f>IF(ISBLANK(comm_deliv), frac_children_health_facility,1)</f>
        <v>0.74099999999999999</v>
      </c>
      <c r="G10" s="65">
        <f>IF(ISBLANK(comm_deliv), frac_children_health_facility,1)</f>
        <v>0.74099999999999999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5.2222742161909225E-2</v>
      </c>
      <c r="D12" s="65">
        <f>diarrhoea_1_5mo*frac_diarrhea_severe</f>
        <v>5.2222742161909225E-2</v>
      </c>
      <c r="E12" s="65">
        <f>diarrhoea_6_11mo*frac_diarrhea_severe</f>
        <v>5.2222742161909225E-2</v>
      </c>
      <c r="F12" s="65">
        <f>diarrhoea_12_23mo*frac_diarrhea_severe</f>
        <v>5.2222742161909225E-2</v>
      </c>
      <c r="G12" s="65">
        <f>diarrhoea_24_59mo*frac_diarrhea_severe</f>
        <v>5.2222742161909225E-2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8.199999999999999E-2</v>
      </c>
      <c r="I15" s="65">
        <f>food_insecure</f>
        <v>8.199999999999999E-2</v>
      </c>
      <c r="J15" s="65">
        <f>food_insecure</f>
        <v>8.199999999999999E-2</v>
      </c>
      <c r="K15" s="65">
        <f>food_insecure</f>
        <v>8.199999999999999E-2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0.85099999999999998</v>
      </c>
      <c r="I18" s="65">
        <f>frac_PW_health_facility</f>
        <v>0.85099999999999998</v>
      </c>
      <c r="J18" s="65">
        <f>frac_PW_health_facility</f>
        <v>0.85099999999999998</v>
      </c>
      <c r="K18" s="65">
        <f>frac_PW_health_facility</f>
        <v>0.85099999999999998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0.57299999999999995</v>
      </c>
      <c r="M24" s="65">
        <f>famplan_unmet_need</f>
        <v>0.57299999999999995</v>
      </c>
      <c r="N24" s="65">
        <f>famplan_unmet_need</f>
        <v>0.57299999999999995</v>
      </c>
      <c r="O24" s="65">
        <f>famplan_unmet_need</f>
        <v>0.57299999999999995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0.205360287311186</v>
      </c>
      <c r="M25" s="65">
        <f>(1-food_insecure)*(0.49)+food_insecure*(0.7)</f>
        <v>0.50722</v>
      </c>
      <c r="N25" s="65">
        <f>(1-food_insecure)*(0.49)+food_insecure*(0.7)</f>
        <v>0.50722</v>
      </c>
      <c r="O25" s="65">
        <f>(1-food_insecure)*(0.49)+food_insecure*(0.7)</f>
        <v>0.50722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8.8011551704793994E-2</v>
      </c>
      <c r="M26" s="65">
        <f>(1-food_insecure)*(0.21)+food_insecure*(0.3)</f>
        <v>0.21738000000000002</v>
      </c>
      <c r="N26" s="65">
        <f>(1-food_insecure)*(0.21)+food_insecure*(0.3)</f>
        <v>0.21738000000000002</v>
      </c>
      <c r="O26" s="65">
        <f>(1-food_insecure)*(0.21)+food_insecure*(0.3)</f>
        <v>0.21738000000000002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0.11150235228402</v>
      </c>
      <c r="M27" s="65">
        <f>(1-food_insecure)*(0.3)</f>
        <v>0.27539999999999998</v>
      </c>
      <c r="N27" s="65">
        <f>(1-food_insecure)*(0.3)</f>
        <v>0.27539999999999998</v>
      </c>
      <c r="O27" s="65">
        <f>(1-food_insecure)*(0.3)</f>
        <v>0.27539999999999998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0.59512580869999998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T+FmA7mcly8+yOPUjvfnB5enxW1OE0tyoqxEmx6tHMQAG4aibRQzVH4566B9IWHQN4Rb7BV4dOr+wgbw1v2l4Q==" saltValue="uMR+7Z9ZbugQc2LGGKETb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v60ULWv/VOSyoabFEkpZrWubvuL10JFH0Tr90rodaTsWVxmFRlHlOzKMzIxQaBy+qYFwSOuSSn0zXcG+5ja8VQ==" saltValue="D0RwCwnLm8+dwXX3Wlr1v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R8s+tpHs0AfZK0rctKBmDB2tr59FfsHX4THNJtNufxdEpz+PwVkH9aj0hArufEXqYWj1Sa66pCmQXT3V6In8gQ==" saltValue="D5s0XiWZqHzzoc8mFUNkV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xylRa2hEuGPTSWW0j8HfX7pwI0yg9oBKo6lbPY9tNIEVJ0Nhxc8b3dZKpKDSHPc0W6Z7WNbAQUAf+PZiiwgXPA==" saltValue="S1fRfcsNQ+620cUfNq1mG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KzOSXahy6e2EUEez/74JshUtc8CDVMZ4VRJWRqeKoQxVSZz2x+04aw7oQoLqX9Z9+JuuwAQi7TL7v6EEB6/VlQ==" saltValue="8VQop6lEfHotouaRsY8kS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G6UN9DcUx3OG8I2wTZJYofjbLQ67EhWlNLYUtFKvMgkKiwsD7mgNTC924qiD8sdL8MikGE+VnqUMlxElWClecQ==" saltValue="855vOzEq+2PB1d46fygw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7038.6504000000004</v>
      </c>
      <c r="C2" s="53">
        <v>13000</v>
      </c>
      <c r="D2" s="53">
        <v>34000</v>
      </c>
      <c r="E2" s="53">
        <v>42000</v>
      </c>
      <c r="F2" s="53">
        <v>25000</v>
      </c>
      <c r="G2" s="14">
        <f t="shared" ref="G2:G11" si="0">C2+D2+E2+F2</f>
        <v>114000</v>
      </c>
      <c r="H2" s="14">
        <f t="shared" ref="H2:H11" si="1">(B2 + stillbirth*B2/(1000-stillbirth))/(1-abortion)</f>
        <v>7420.9983336100586</v>
      </c>
      <c r="I2" s="14">
        <f t="shared" ref="I2:I11" si="2">G2-H2</f>
        <v>106579.00166638994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6840.6016000000009</v>
      </c>
      <c r="C3" s="53">
        <v>14000</v>
      </c>
      <c r="D3" s="53">
        <v>32000</v>
      </c>
      <c r="E3" s="53">
        <v>42000</v>
      </c>
      <c r="F3" s="53">
        <v>26000</v>
      </c>
      <c r="G3" s="14">
        <f t="shared" si="0"/>
        <v>114000</v>
      </c>
      <c r="H3" s="14">
        <f t="shared" si="1"/>
        <v>7212.1912852057985</v>
      </c>
      <c r="I3" s="14">
        <f t="shared" si="2"/>
        <v>106787.8087147942</v>
      </c>
    </row>
    <row r="4" spans="1:9" ht="15.75" customHeight="1" x14ac:dyDescent="0.25">
      <c r="A4" s="7">
        <f t="shared" si="3"/>
        <v>2023</v>
      </c>
      <c r="B4" s="52">
        <v>6649.0948000000008</v>
      </c>
      <c r="C4" s="53">
        <v>14000</v>
      </c>
      <c r="D4" s="53">
        <v>31000</v>
      </c>
      <c r="E4" s="53">
        <v>42000</v>
      </c>
      <c r="F4" s="53">
        <v>28000</v>
      </c>
      <c r="G4" s="14">
        <f t="shared" si="0"/>
        <v>115000</v>
      </c>
      <c r="H4" s="14">
        <f t="shared" si="1"/>
        <v>7010.2816060896157</v>
      </c>
      <c r="I4" s="14">
        <f t="shared" si="2"/>
        <v>107989.71839391039</v>
      </c>
    </row>
    <row r="5" spans="1:9" ht="15.75" customHeight="1" x14ac:dyDescent="0.25">
      <c r="A5" s="7">
        <f t="shared" si="3"/>
        <v>2024</v>
      </c>
      <c r="B5" s="52">
        <v>6422.4864000000016</v>
      </c>
      <c r="C5" s="53">
        <v>15000</v>
      </c>
      <c r="D5" s="53">
        <v>30000</v>
      </c>
      <c r="E5" s="53">
        <v>42000</v>
      </c>
      <c r="F5" s="53">
        <v>29000</v>
      </c>
      <c r="G5" s="14">
        <f t="shared" si="0"/>
        <v>116000</v>
      </c>
      <c r="H5" s="14">
        <f t="shared" si="1"/>
        <v>6771.3635659519723</v>
      </c>
      <c r="I5" s="14">
        <f t="shared" si="2"/>
        <v>109228.63643404802</v>
      </c>
    </row>
    <row r="6" spans="1:9" ht="15.75" customHeight="1" x14ac:dyDescent="0.25">
      <c r="A6" s="7">
        <f t="shared" si="3"/>
        <v>2025</v>
      </c>
      <c r="B6" s="52">
        <v>6202.42</v>
      </c>
      <c r="C6" s="53">
        <v>15000</v>
      </c>
      <c r="D6" s="53">
        <v>29000</v>
      </c>
      <c r="E6" s="53">
        <v>42000</v>
      </c>
      <c r="F6" s="53">
        <v>31000</v>
      </c>
      <c r="G6" s="14">
        <f t="shared" si="0"/>
        <v>117000</v>
      </c>
      <c r="H6" s="14">
        <f t="shared" si="1"/>
        <v>6539.3428951024052</v>
      </c>
      <c r="I6" s="14">
        <f t="shared" si="2"/>
        <v>110460.65710489759</v>
      </c>
    </row>
    <row r="7" spans="1:9" ht="15.75" customHeight="1" x14ac:dyDescent="0.25">
      <c r="A7" s="7">
        <f t="shared" si="3"/>
        <v>2026</v>
      </c>
      <c r="B7" s="52">
        <v>6067.2150000000001</v>
      </c>
      <c r="C7" s="53">
        <v>16000</v>
      </c>
      <c r="D7" s="53">
        <v>29000</v>
      </c>
      <c r="E7" s="53">
        <v>41000</v>
      </c>
      <c r="F7" s="53">
        <v>33000</v>
      </c>
      <c r="G7" s="14">
        <f t="shared" si="0"/>
        <v>119000</v>
      </c>
      <c r="H7" s="14">
        <f t="shared" si="1"/>
        <v>6396.7933973043973</v>
      </c>
      <c r="I7" s="14">
        <f t="shared" si="2"/>
        <v>112603.2066026956</v>
      </c>
    </row>
    <row r="8" spans="1:9" ht="15.75" customHeight="1" x14ac:dyDescent="0.25">
      <c r="A8" s="7">
        <f t="shared" si="3"/>
        <v>2027</v>
      </c>
      <c r="B8" s="52">
        <v>5916.1440000000002</v>
      </c>
      <c r="C8" s="53">
        <v>16000</v>
      </c>
      <c r="D8" s="53">
        <v>28000</v>
      </c>
      <c r="E8" s="53">
        <v>39000</v>
      </c>
      <c r="F8" s="53">
        <v>35000</v>
      </c>
      <c r="G8" s="14">
        <f t="shared" si="0"/>
        <v>118000</v>
      </c>
      <c r="H8" s="14">
        <f t="shared" si="1"/>
        <v>6237.5160393528213</v>
      </c>
      <c r="I8" s="14">
        <f t="shared" si="2"/>
        <v>111762.48396064718</v>
      </c>
    </row>
    <row r="9" spans="1:9" ht="15.75" customHeight="1" x14ac:dyDescent="0.25">
      <c r="A9" s="7">
        <f t="shared" si="3"/>
        <v>2028</v>
      </c>
      <c r="B9" s="52">
        <v>5773.32</v>
      </c>
      <c r="C9" s="53">
        <v>17000</v>
      </c>
      <c r="D9" s="53">
        <v>28000</v>
      </c>
      <c r="E9" s="53">
        <v>38000</v>
      </c>
      <c r="F9" s="53">
        <v>37000</v>
      </c>
      <c r="G9" s="14">
        <f t="shared" si="0"/>
        <v>120000</v>
      </c>
      <c r="H9" s="14">
        <f t="shared" si="1"/>
        <v>6086.9336683347165</v>
      </c>
      <c r="I9" s="14">
        <f t="shared" si="2"/>
        <v>113913.06633166528</v>
      </c>
    </row>
    <row r="10" spans="1:9" ht="15.75" customHeight="1" x14ac:dyDescent="0.25">
      <c r="A10" s="7">
        <f t="shared" si="3"/>
        <v>2029</v>
      </c>
      <c r="B10" s="52">
        <v>5615.4319999999998</v>
      </c>
      <c r="C10" s="53">
        <v>18000</v>
      </c>
      <c r="D10" s="53">
        <v>29000</v>
      </c>
      <c r="E10" s="53">
        <v>36000</v>
      </c>
      <c r="F10" s="53">
        <v>38000</v>
      </c>
      <c r="G10" s="14">
        <f t="shared" si="0"/>
        <v>121000</v>
      </c>
      <c r="H10" s="14">
        <f t="shared" si="1"/>
        <v>5920.4690027651604</v>
      </c>
      <c r="I10" s="14">
        <f t="shared" si="2"/>
        <v>115079.53099723483</v>
      </c>
    </row>
    <row r="11" spans="1:9" ht="15.75" customHeight="1" x14ac:dyDescent="0.25">
      <c r="A11" s="7">
        <f t="shared" si="3"/>
        <v>2030</v>
      </c>
      <c r="B11" s="52">
        <v>5454.3360000000002</v>
      </c>
      <c r="C11" s="53">
        <v>18000</v>
      </c>
      <c r="D11" s="53">
        <v>29000</v>
      </c>
      <c r="E11" s="53">
        <v>36000</v>
      </c>
      <c r="F11" s="53">
        <v>40000</v>
      </c>
      <c r="G11" s="14">
        <f t="shared" si="0"/>
        <v>123000</v>
      </c>
      <c r="H11" s="14">
        <f t="shared" si="1"/>
        <v>5750.6220747871421</v>
      </c>
      <c r="I11" s="14">
        <f t="shared" si="2"/>
        <v>117249.37792521286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g4I4zHvFdfDg0ugGZ7wTZ16j8YdB1bOytbKDzTgN3TyEA6TGE6+27hsI8gxvT0PE+g1H1sthZHM8OHhXbOPbNQ==" saltValue="OoCmvDB7IQxurMPZymbp8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08YJ5JYNz5zsYce5LdNryRcBYSDuq8r6XxgH2BIZQt4iRHBZV5gHyxxUWWcQ3Y9Tu1m1unvF6C4UYcV7l0mMjg==" saltValue="0PcA6pt7mQVv/7vQnIRvZ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JtRiBHVuA3pgRiysS1im3vcbgNZeHSk52lYN9MkmpZ0MnCiYJAVCEbPwp/PLHWmzhyvYO+YpQjjVhHvKsSHDcA==" saltValue="dle6mxbsehm6YzELDK23E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lt4L7fJRFT/DoJn2QPnprM6nj9YuMIT7DGl+tsFhK3GETLwB/907E8JL8mPw9QXFrW0WbJNvXkC1Z92O01Oahg==" saltValue="bt3DqfeKABtVKVgVAGl3+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FWZ28tADWP0GA+vcJ0fUjTZOWbgRPZVmFObRazgHkCNt9T28ezfvT/nmv+TqIlrQMauE99J/2f9zsHAWeyDJaQ==" saltValue="tlK4a2JzIcQftwsgXfEeH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esKf2PHdUp9yromnMdLzmdMc4QkpW1fiLkWBIBTRIu7wYLMN2z3CdW/tl/WUiLJeioxxvkKKf9fhvu2D0MkRzw==" saltValue="mG2zqW0+wy46/KQs3+CVb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y1mNWbzj2V54dy7jZbYaruBIVIfLyNh1ihFRYSMRdYzBQKh1ZZ2TeC2P0SBoEUmR68BSilHS+DWAV97aEjRk2Q==" saltValue="RTk32/VKjAcTuJFtqkTnj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xTc2mzooR2oZ9Oe6D11cE7+4ZwRuqYKZeb6WwfBa1mzAhHBRZzeVIZgtqVgw/5Nz6iE+IrMwmXX3AgEWRjrdYA==" saltValue="yixAyr/HxnISHMwsnWEJb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ZID4sLKsGpYXuBUB81+6ue5Wr3yP6ZeENxU3nD3pQaVSr6ZdzDab4KR8rGyLAiuwFuMCAUOLrL+o+9DDqeyCRw==" saltValue="35zZq8vOxjBB2G1z9YOX7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sHHpKMw6RxWOMC6noEIo0XjD7OkWxw7X6lhFd6Sqnj658pwHOgV2nmgFpLVdN1EYnZRZDOFosLhoJMN3231qAg==" saltValue="vC7xA/DySju2s71eEtOVq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0</v>
      </c>
    </row>
    <row r="4" spans="1:8" ht="15.75" customHeight="1" x14ac:dyDescent="0.25">
      <c r="B4" s="16" t="s">
        <v>79</v>
      </c>
      <c r="C4" s="54">
        <v>6.5759845976876008E-2</v>
      </c>
    </row>
    <row r="5" spans="1:8" ht="15.75" customHeight="1" x14ac:dyDescent="0.25">
      <c r="B5" s="16" t="s">
        <v>80</v>
      </c>
      <c r="C5" s="54">
        <v>3.3172605752683042E-2</v>
      </c>
    </row>
    <row r="6" spans="1:8" ht="15.75" customHeight="1" x14ac:dyDescent="0.25">
      <c r="B6" s="16" t="s">
        <v>81</v>
      </c>
      <c r="C6" s="54">
        <v>0.112459329068909</v>
      </c>
    </row>
    <row r="7" spans="1:8" ht="15.75" customHeight="1" x14ac:dyDescent="0.25">
      <c r="B7" s="16" t="s">
        <v>82</v>
      </c>
      <c r="C7" s="54">
        <v>0.39361010626417459</v>
      </c>
    </row>
    <row r="8" spans="1:8" ht="15.75" customHeight="1" x14ac:dyDescent="0.25">
      <c r="B8" s="16" t="s">
        <v>83</v>
      </c>
      <c r="C8" s="54">
        <v>4.8637909429998967E-3</v>
      </c>
    </row>
    <row r="9" spans="1:8" ht="15.75" customHeight="1" x14ac:dyDescent="0.25">
      <c r="B9" s="16" t="s">
        <v>84</v>
      </c>
      <c r="C9" s="54">
        <v>0.276278084258817</v>
      </c>
    </row>
    <row r="10" spans="1:8" ht="15.75" customHeight="1" x14ac:dyDescent="0.25">
      <c r="B10" s="16" t="s">
        <v>85</v>
      </c>
      <c r="C10" s="54">
        <v>0.1138562377355406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3.090250199768375E-2</v>
      </c>
      <c r="D14" s="54">
        <v>3.090250199768375E-2</v>
      </c>
      <c r="E14" s="54">
        <v>3.090250199768375E-2</v>
      </c>
      <c r="F14" s="54">
        <v>3.090250199768375E-2</v>
      </c>
    </row>
    <row r="15" spans="1:8" ht="15.75" customHeight="1" x14ac:dyDescent="0.25">
      <c r="B15" s="16" t="s">
        <v>88</v>
      </c>
      <c r="C15" s="54">
        <v>0.1266394252048863</v>
      </c>
      <c r="D15" s="54">
        <v>0.1266394252048863</v>
      </c>
      <c r="E15" s="54">
        <v>0.1266394252048863</v>
      </c>
      <c r="F15" s="54">
        <v>0.1266394252048863</v>
      </c>
    </row>
    <row r="16" spans="1:8" ht="15.75" customHeight="1" x14ac:dyDescent="0.25">
      <c r="B16" s="16" t="s">
        <v>89</v>
      </c>
      <c r="C16" s="54">
        <v>1.675247975385152E-2</v>
      </c>
      <c r="D16" s="54">
        <v>1.675247975385152E-2</v>
      </c>
      <c r="E16" s="54">
        <v>1.675247975385152E-2</v>
      </c>
      <c r="F16" s="54">
        <v>1.675247975385152E-2</v>
      </c>
    </row>
    <row r="17" spans="1:8" ht="15.75" customHeight="1" x14ac:dyDescent="0.25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2.533730353389875E-2</v>
      </c>
      <c r="D19" s="54">
        <v>2.533730353389875E-2</v>
      </c>
      <c r="E19" s="54">
        <v>2.533730353389875E-2</v>
      </c>
      <c r="F19" s="54">
        <v>2.533730353389875E-2</v>
      </c>
    </row>
    <row r="20" spans="1:8" ht="15.75" customHeight="1" x14ac:dyDescent="0.25">
      <c r="B20" s="16" t="s">
        <v>93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5">
      <c r="B21" s="16" t="s">
        <v>94</v>
      </c>
      <c r="C21" s="54">
        <v>9.7484367612660064E-2</v>
      </c>
      <c r="D21" s="54">
        <v>9.7484367612660064E-2</v>
      </c>
      <c r="E21" s="54">
        <v>9.7484367612660064E-2</v>
      </c>
      <c r="F21" s="54">
        <v>9.7484367612660064E-2</v>
      </c>
    </row>
    <row r="22" spans="1:8" ht="15.75" customHeight="1" x14ac:dyDescent="0.25">
      <c r="B22" s="16" t="s">
        <v>95</v>
      </c>
      <c r="C22" s="54">
        <v>0.70288392189701954</v>
      </c>
      <c r="D22" s="54">
        <v>0.70288392189701954</v>
      </c>
      <c r="E22" s="54">
        <v>0.70288392189701954</v>
      </c>
      <c r="F22" s="54">
        <v>0.70288392189701954</v>
      </c>
    </row>
    <row r="23" spans="1:8" ht="15.75" customHeight="1" x14ac:dyDescent="0.25">
      <c r="B23" s="24" t="s">
        <v>41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3.7100000000000001E-2</v>
      </c>
    </row>
    <row r="27" spans="1:8" ht="15.75" customHeight="1" x14ac:dyDescent="0.25">
      <c r="B27" s="16" t="s">
        <v>102</v>
      </c>
      <c r="C27" s="54">
        <v>3.2000000000000002E-3</v>
      </c>
    </row>
    <row r="28" spans="1:8" ht="15.75" customHeight="1" x14ac:dyDescent="0.25">
      <c r="B28" s="16" t="s">
        <v>103</v>
      </c>
      <c r="C28" s="54">
        <v>0.26540000000000002</v>
      </c>
    </row>
    <row r="29" spans="1:8" ht="15.75" customHeight="1" x14ac:dyDescent="0.25">
      <c r="B29" s="16" t="s">
        <v>104</v>
      </c>
      <c r="C29" s="54">
        <v>8.929999999999999E-2</v>
      </c>
    </row>
    <row r="30" spans="1:8" ht="15.75" customHeight="1" x14ac:dyDescent="0.25">
      <c r="B30" s="16" t="s">
        <v>2</v>
      </c>
      <c r="C30" s="54">
        <v>3.4799999999999998E-2</v>
      </c>
    </row>
    <row r="31" spans="1:8" ht="15.75" customHeight="1" x14ac:dyDescent="0.25">
      <c r="B31" s="16" t="s">
        <v>105</v>
      </c>
      <c r="C31" s="54">
        <v>5.2999999999999999E-2</v>
      </c>
    </row>
    <row r="32" spans="1:8" ht="15.75" customHeight="1" x14ac:dyDescent="0.25">
      <c r="B32" s="16" t="s">
        <v>106</v>
      </c>
      <c r="C32" s="54">
        <v>4.1799999999999997E-2</v>
      </c>
    </row>
    <row r="33" spans="2:3" ht="15.75" customHeight="1" x14ac:dyDescent="0.25">
      <c r="B33" s="16" t="s">
        <v>107</v>
      </c>
      <c r="C33" s="54">
        <v>5.6800000000000003E-2</v>
      </c>
    </row>
    <row r="34" spans="2:3" ht="15.75" customHeight="1" x14ac:dyDescent="0.25">
      <c r="B34" s="16" t="s">
        <v>108</v>
      </c>
      <c r="C34" s="54">
        <v>0.41860000000223507</v>
      </c>
    </row>
    <row r="35" spans="2:3" ht="15.75" customHeight="1" x14ac:dyDescent="0.25">
      <c r="B35" s="24" t="s">
        <v>41</v>
      </c>
      <c r="C35" s="50">
        <f>SUM(C26:C34)</f>
        <v>1.0000000000022351</v>
      </c>
    </row>
  </sheetData>
  <sheetProtection algorithmName="SHA-512" hashValue="/Kwh1v5Dr5LLaJUunXYl411XYlT0nJG2WRN0XP06uhSw9m2wjXvFJrWL1QqPPFH0au8RrbxXPE0bXoCuJGAkYQ==" saltValue="/R4P+ARY8ciRFonAc1ot9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0.53824186325073198</v>
      </c>
      <c r="D2" s="55">
        <v>0.53824186325073198</v>
      </c>
      <c r="E2" s="55">
        <v>0.54521417617797896</v>
      </c>
      <c r="F2" s="55">
        <v>0.485530495643616</v>
      </c>
      <c r="G2" s="55">
        <v>0.57407361268997203</v>
      </c>
    </row>
    <row r="3" spans="1:15" ht="15.75" customHeight="1" x14ac:dyDescent="0.25">
      <c r="B3" s="7" t="s">
        <v>113</v>
      </c>
      <c r="C3" s="55">
        <v>0.22854635119438199</v>
      </c>
      <c r="D3" s="55">
        <v>0.22854635119438199</v>
      </c>
      <c r="E3" s="55">
        <v>0.30996924638748202</v>
      </c>
      <c r="F3" s="55">
        <v>0.29278358817100503</v>
      </c>
      <c r="G3" s="55">
        <v>0.30267095565795898</v>
      </c>
    </row>
    <row r="4" spans="1:15" ht="15.75" customHeight="1" x14ac:dyDescent="0.25">
      <c r="B4" s="7" t="s">
        <v>114</v>
      </c>
      <c r="C4" s="56">
        <v>0.14632110297679901</v>
      </c>
      <c r="D4" s="56">
        <v>0.14632110297679901</v>
      </c>
      <c r="E4" s="56">
        <v>0.10602942854166</v>
      </c>
      <c r="F4" s="56">
        <v>0.15473890304565399</v>
      </c>
      <c r="G4" s="56">
        <v>9.7377270460128798E-2</v>
      </c>
    </row>
    <row r="5" spans="1:15" ht="15.75" customHeight="1" x14ac:dyDescent="0.25">
      <c r="B5" s="7" t="s">
        <v>115</v>
      </c>
      <c r="C5" s="56">
        <v>8.6890675127506298E-2</v>
      </c>
      <c r="D5" s="56">
        <v>8.6890675127506298E-2</v>
      </c>
      <c r="E5" s="56">
        <v>3.8787156343460097E-2</v>
      </c>
      <c r="F5" s="56">
        <v>6.6946990787982899E-2</v>
      </c>
      <c r="G5" s="56">
        <v>2.5878155604004902E-2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0.71593528985977206</v>
      </c>
      <c r="D8" s="55">
        <v>0.71593528985977206</v>
      </c>
      <c r="E8" s="55">
        <v>0.73689728975296009</v>
      </c>
      <c r="F8" s="55">
        <v>0.77670246362686202</v>
      </c>
      <c r="G8" s="55">
        <v>0.584791660308838</v>
      </c>
    </row>
    <row r="9" spans="1:15" ht="15.75" customHeight="1" x14ac:dyDescent="0.25">
      <c r="B9" s="7" t="s">
        <v>118</v>
      </c>
      <c r="C9" s="55">
        <v>0.18239966034889199</v>
      </c>
      <c r="D9" s="55">
        <v>0.18239966034889199</v>
      </c>
      <c r="E9" s="55">
        <v>0.19080314040183999</v>
      </c>
      <c r="F9" s="55">
        <v>0.175575152039528</v>
      </c>
      <c r="G9" s="55">
        <v>0.30843198299407998</v>
      </c>
    </row>
    <row r="10" spans="1:15" ht="15.75" customHeight="1" x14ac:dyDescent="0.25">
      <c r="B10" s="7" t="s">
        <v>119</v>
      </c>
      <c r="C10" s="56">
        <v>4.1757505387067802E-2</v>
      </c>
      <c r="D10" s="56">
        <v>4.1757505387067802E-2</v>
      </c>
      <c r="E10" s="56">
        <v>4.7525834292173413E-2</v>
      </c>
      <c r="F10" s="56">
        <v>4.0686640888452502E-2</v>
      </c>
      <c r="G10" s="56">
        <v>8.9164137840270996E-2</v>
      </c>
    </row>
    <row r="11" spans="1:15" ht="15.75" customHeight="1" x14ac:dyDescent="0.25">
      <c r="B11" s="7" t="s">
        <v>120</v>
      </c>
      <c r="C11" s="56">
        <v>5.9907566756010097E-2</v>
      </c>
      <c r="D11" s="56">
        <v>5.9907566756010097E-2</v>
      </c>
      <c r="E11" s="56">
        <v>2.47737169265747E-2</v>
      </c>
      <c r="F11" s="56">
        <v>7.0357141084969E-3</v>
      </c>
      <c r="G11" s="56">
        <v>1.7612216994166398E-2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0.54814867350000007</v>
      </c>
      <c r="D14" s="57">
        <v>0.52809382599400001</v>
      </c>
      <c r="E14" s="57">
        <v>0.52809382599400001</v>
      </c>
      <c r="F14" s="57">
        <v>0.246947057985</v>
      </c>
      <c r="G14" s="57">
        <v>0.246947057985</v>
      </c>
      <c r="H14" s="58">
        <v>0.71099999999999997</v>
      </c>
      <c r="I14" s="58">
        <v>0.59047619047619049</v>
      </c>
      <c r="J14" s="58">
        <v>0.60819047619047617</v>
      </c>
      <c r="K14" s="58">
        <v>0.62787301587301581</v>
      </c>
      <c r="L14" s="58">
        <v>0.31438062968800001</v>
      </c>
      <c r="M14" s="58">
        <v>0.29428698022499999</v>
      </c>
      <c r="N14" s="58">
        <v>0.236328775789</v>
      </c>
      <c r="O14" s="58">
        <v>0.25478697223300001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0.30606627698067007</v>
      </c>
      <c r="D15" s="55">
        <f t="shared" si="0"/>
        <v>0.29486837975256247</v>
      </c>
      <c r="E15" s="55">
        <f t="shared" si="0"/>
        <v>0.29486837975256247</v>
      </c>
      <c r="F15" s="55">
        <f t="shared" si="0"/>
        <v>0.13788625295067616</v>
      </c>
      <c r="G15" s="55">
        <f t="shared" si="0"/>
        <v>0.13788625295067616</v>
      </c>
      <c r="H15" s="55">
        <f t="shared" si="0"/>
        <v>0.39699653297301357</v>
      </c>
      <c r="I15" s="55">
        <f t="shared" si="0"/>
        <v>0.32970042253468412</v>
      </c>
      <c r="J15" s="55">
        <f t="shared" si="0"/>
        <v>0.3395914352107246</v>
      </c>
      <c r="K15" s="55">
        <f t="shared" si="0"/>
        <v>0.35058144929521406</v>
      </c>
      <c r="L15" s="55">
        <f t="shared" si="0"/>
        <v>0.17553870607596184</v>
      </c>
      <c r="M15" s="55">
        <f t="shared" si="0"/>
        <v>0.16431914324672686</v>
      </c>
      <c r="N15" s="55">
        <f t="shared" si="0"/>
        <v>0.13195739047818519</v>
      </c>
      <c r="O15" s="55">
        <f t="shared" si="0"/>
        <v>0.14226377584133965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Jpsk3AmCg16niCs0y8nCArWFCixTqzccasUmH1qSzYz3BTeOWzqF9uCEGpdagThyM1LsxxYdu5SYnvGI2BLvsQ==" saltValue="gSakWC0X/+6pj+nQsA1s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0.76553148031234697</v>
      </c>
      <c r="D2" s="56">
        <v>0.58960089999999998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0.115765675902367</v>
      </c>
      <c r="D3" s="56">
        <v>0.16178020000000001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0.115296460688114</v>
      </c>
      <c r="D4" s="56">
        <v>0.2179171</v>
      </c>
      <c r="E4" s="56">
        <v>0.86853903532028198</v>
      </c>
      <c r="F4" s="56">
        <v>0.72773998975753795</v>
      </c>
      <c r="G4" s="56">
        <v>0</v>
      </c>
    </row>
    <row r="5" spans="1:7" x14ac:dyDescent="0.25">
      <c r="B5" s="98" t="s">
        <v>132</v>
      </c>
      <c r="C5" s="55">
        <v>3.40638309717193E-3</v>
      </c>
      <c r="D5" s="55">
        <v>3.0701800000000098E-2</v>
      </c>
      <c r="E5" s="55">
        <v>0.13146096467971799</v>
      </c>
      <c r="F5" s="55">
        <v>0.27226001024246199</v>
      </c>
      <c r="G5" s="55">
        <v>1</v>
      </c>
    </row>
  </sheetData>
  <sheetProtection algorithmName="SHA-512" hashValue="g2Iil1RcvJ/Hlm8hBrBpCa4YztNhmYEcyadkg/jwG2yrdr5rcYjC37/jBXYJF6pZg/l4K/y6Nhvpas9Zkx8fOA==" saltValue="kS7t9lzq11V4/M8i//T6V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cHmxkusQNzDAwLvyH0nEV3MHoI05h6hkIjrTaUmaiGcnvuY5OEqbdRQV2khYZ2IcP8eg0MUXIm6/hPbJQnJByg==" saltValue="PCggwRBH0cH3N8MVsnSp3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bGlIppa5mqhF24OBRGxPPtBEg+igdixwfBooCOUZFfHh4NMic7b00IOM7mdUQFfdjnAzBiWuC96zzV8wGUI6mw==" saltValue="7h9UZu3v1mYbb3W7MjUVQ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OosTSGd+tc8L/xtAj34sGpbxGrJK4/RuykiQYGYiK+mMqmYrumXnxeI8IO7nxFW4oX9y7PF8+JfuhZu1SKjUOQ==" saltValue="PpRmi6bfgoUQR1G95lOnX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excGOfSVYsQGdGOQicf8AiMJ30RlDaK0Ie7r8aJeSNtUQJtuW1bMq4aWtW3dNkfgbz52NdHdBPXvGELvgPgzgg==" saltValue="48EjaP/yLhOyMntxmkoQN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2022-02-01T04:23:19Z</dcterms:modified>
</cp:coreProperties>
</file>