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0C28F561-5DAE-40BD-A44B-7C7FE400B1AB}" xr6:coauthVersionLast="47" xr6:coauthVersionMax="47" xr10:uidLastSave="{00000000-0000-0000-0000-000000000000}"/>
  <bookViews>
    <workbookView xWindow="36" yWindow="24" windowWidth="23004" windowHeight="12336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I40" i="2" s="1"/>
  <c r="G40" i="2"/>
  <c r="H39" i="2"/>
  <c r="G39" i="2"/>
  <c r="I39" i="2" s="1"/>
  <c r="H38" i="2"/>
  <c r="I38" i="2" s="1"/>
  <c r="G38" i="2"/>
  <c r="A25" i="2"/>
  <c r="A17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H6" i="2"/>
  <c r="I6" i="2" s="1"/>
  <c r="G6" i="2"/>
  <c r="H5" i="2"/>
  <c r="G5" i="2"/>
  <c r="I5" i="2" s="1"/>
  <c r="H4" i="2"/>
  <c r="I4" i="2" s="1"/>
  <c r="G4" i="2"/>
  <c r="H3" i="2"/>
  <c r="G3" i="2"/>
  <c r="H2" i="2"/>
  <c r="I2" i="2" s="1"/>
  <c r="G2" i="2"/>
  <c r="A2" i="2"/>
  <c r="A32" i="2" s="1"/>
  <c r="C33" i="1"/>
  <c r="C20" i="1"/>
  <c r="I3" i="2" l="1"/>
  <c r="I7" i="2"/>
  <c r="A33" i="2"/>
  <c r="A18" i="2"/>
  <c r="A26" i="2"/>
  <c r="A34" i="2"/>
  <c r="A39" i="2"/>
  <c r="A19" i="2"/>
  <c r="A27" i="2"/>
  <c r="A35" i="2"/>
  <c r="A36" i="2"/>
  <c r="A12" i="2"/>
  <c r="A20" i="2"/>
  <c r="A28" i="2"/>
  <c r="A13" i="2"/>
  <c r="A21" i="2"/>
  <c r="A29" i="2"/>
  <c r="A37" i="2"/>
  <c r="A14" i="2"/>
  <c r="A22" i="2"/>
  <c r="A30" i="2"/>
  <c r="A38" i="2"/>
  <c r="A40" i="2"/>
  <c r="D58" i="20"/>
  <c r="A15" i="2"/>
  <c r="A23" i="2"/>
  <c r="A31" i="2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<sst xmlns="http://schemas.openxmlformats.org/spreadsheetml/2006/main" count="2092" uniqueCount="337">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</sst>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13</v>
      </c>
      <c r="B1" s="27" t="s">
        <v>0</v>
      </c>
      <c r="C1" s="27" t="s">
        <v>66</v>
      </c>
    </row>
    <row r="2" spans="1:3" ht="15.9" customHeight="1" x14ac:dyDescent="0.25">
      <c r="A2" s="113" t="s">
        <v>14</v>
      </c>
      <c r="B2" s="27"/>
      <c r="C2" s="27"/>
    </row>
    <row r="3" spans="1:3" ht="15.9" customHeight="1" x14ac:dyDescent="0.25">
      <c r="A3" s="1"/>
      <c r="B3" s="7" t="s">
        <v>15</v>
      </c>
      <c r="C3" s="43">
        <v>2021</v>
      </c>
    </row>
    <row r="4" spans="1:3" ht="15.9" customHeight="1" x14ac:dyDescent="0.25">
      <c r="A4" s="1"/>
      <c r="B4" s="7" t="s">
        <v>16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17</v>
      </c>
    </row>
    <row r="7" spans="1:3" ht="15" customHeight="1" x14ac:dyDescent="0.25">
      <c r="B7" s="28" t="s">
        <v>18</v>
      </c>
      <c r="C7" s="45">
        <v>933582.2265625</v>
      </c>
    </row>
    <row r="8" spans="1:3" ht="15" customHeight="1" x14ac:dyDescent="0.25">
      <c r="B8" s="7" t="s">
        <v>19</v>
      </c>
      <c r="C8" s="46">
        <v>0.23599999999999999</v>
      </c>
    </row>
    <row r="9" spans="1:3" ht="15" customHeight="1" x14ac:dyDescent="0.25">
      <c r="B9" s="7" t="s">
        <v>20</v>
      </c>
      <c r="C9" s="47">
        <v>5.0000000000000001E-3</v>
      </c>
    </row>
    <row r="10" spans="1:3" ht="15" customHeight="1" x14ac:dyDescent="0.25">
      <c r="B10" s="7" t="s">
        <v>21</v>
      </c>
      <c r="C10" s="47">
        <v>0.80865753173828092</v>
      </c>
    </row>
    <row r="11" spans="1:3" ht="15" customHeight="1" x14ac:dyDescent="0.25">
      <c r="B11" s="7" t="s">
        <v>22</v>
      </c>
      <c r="C11" s="46">
        <v>0.62</v>
      </c>
    </row>
    <row r="12" spans="1:3" ht="15" customHeight="1" x14ac:dyDescent="0.25">
      <c r="B12" s="7" t="s">
        <v>23</v>
      </c>
      <c r="C12" s="46">
        <v>0.72</v>
      </c>
    </row>
    <row r="13" spans="1:3" ht="15" customHeight="1" x14ac:dyDescent="0.25">
      <c r="B13" s="7" t="s">
        <v>24</v>
      </c>
      <c r="C13" s="46">
        <v>0.249</v>
      </c>
    </row>
    <row r="14" spans="1:3" ht="15" customHeight="1" x14ac:dyDescent="0.25">
      <c r="B14" s="113"/>
    </row>
    <row r="15" spans="1:3" ht="15" customHeight="1" x14ac:dyDescent="0.25">
      <c r="A15" s="113" t="s">
        <v>25</v>
      </c>
      <c r="B15" s="11"/>
      <c r="C15" s="4"/>
    </row>
    <row r="16" spans="1:3" ht="15" customHeight="1" x14ac:dyDescent="0.25">
      <c r="B16" s="7" t="s">
        <v>26</v>
      </c>
      <c r="C16" s="47">
        <v>0.1</v>
      </c>
    </row>
    <row r="17" spans="1:3" ht="15" customHeight="1" x14ac:dyDescent="0.25">
      <c r="B17" s="7" t="s">
        <v>27</v>
      </c>
      <c r="C17" s="47">
        <v>0.1</v>
      </c>
    </row>
    <row r="18" spans="1:3" ht="15" customHeight="1" x14ac:dyDescent="0.25">
      <c r="B18" s="7" t="s">
        <v>28</v>
      </c>
      <c r="C18" s="47">
        <v>0.1</v>
      </c>
    </row>
    <row r="19" spans="1:3" ht="15" customHeight="1" x14ac:dyDescent="0.25">
      <c r="B19" s="7" t="s">
        <v>29</v>
      </c>
      <c r="C19" s="47">
        <v>0.1</v>
      </c>
    </row>
    <row r="20" spans="1:3" ht="15" customHeight="1" x14ac:dyDescent="0.25">
      <c r="B20" s="7" t="s">
        <v>30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31</v>
      </c>
    </row>
    <row r="23" spans="1:3" ht="15" customHeight="1" x14ac:dyDescent="0.25">
      <c r="B23" s="12" t="s">
        <v>32</v>
      </c>
      <c r="C23" s="47">
        <v>0.1108</v>
      </c>
    </row>
    <row r="24" spans="1:3" ht="15" customHeight="1" x14ac:dyDescent="0.25">
      <c r="B24" s="12" t="s">
        <v>33</v>
      </c>
      <c r="C24" s="47">
        <v>0.51619999999999999</v>
      </c>
    </row>
    <row r="25" spans="1:3" ht="15" customHeight="1" x14ac:dyDescent="0.25">
      <c r="B25" s="12" t="s">
        <v>34</v>
      </c>
      <c r="C25" s="47">
        <v>0.3543</v>
      </c>
    </row>
    <row r="26" spans="1:3" ht="15" customHeight="1" x14ac:dyDescent="0.25">
      <c r="B26" s="12" t="s">
        <v>35</v>
      </c>
      <c r="C26" s="47">
        <v>1.8700000000000001E-2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36</v>
      </c>
      <c r="B28" s="12"/>
      <c r="C28" s="12"/>
    </row>
    <row r="29" spans="1:3" ht="14.25" customHeight="1" x14ac:dyDescent="0.25">
      <c r="B29" s="22" t="s">
        <v>37</v>
      </c>
      <c r="C29" s="49">
        <v>0.35699999999999998</v>
      </c>
    </row>
    <row r="30" spans="1:3" ht="14.25" customHeight="1" x14ac:dyDescent="0.25">
      <c r="B30" s="22" t="s">
        <v>38</v>
      </c>
      <c r="C30" s="49">
        <v>6.6000000000000003E-2</v>
      </c>
    </row>
    <row r="31" spans="1:3" ht="14.25" customHeight="1" x14ac:dyDescent="0.25">
      <c r="B31" s="22" t="s">
        <v>39</v>
      </c>
      <c r="C31" s="49">
        <v>9.3000000000000013E-2</v>
      </c>
    </row>
    <row r="32" spans="1:3" ht="14.25" customHeight="1" x14ac:dyDescent="0.25">
      <c r="B32" s="22" t="s">
        <v>40</v>
      </c>
      <c r="C32" s="49">
        <v>0.48399999998509879</v>
      </c>
    </row>
    <row r="33" spans="1:5" ht="13.2" customHeight="1" x14ac:dyDescent="0.25">
      <c r="B33" s="24" t="s">
        <v>41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42</v>
      </c>
    </row>
    <row r="36" spans="1:5" ht="15" customHeight="1" x14ac:dyDescent="0.25">
      <c r="A36" s="113" t="s">
        <v>43</v>
      </c>
      <c r="B36" s="7"/>
    </row>
    <row r="37" spans="1:5" ht="15" customHeight="1" x14ac:dyDescent="0.25">
      <c r="B37" s="28" t="s">
        <v>44</v>
      </c>
      <c r="C37" s="117">
        <v>3.4494386581701701</v>
      </c>
    </row>
    <row r="38" spans="1:5" ht="15" customHeight="1" x14ac:dyDescent="0.25">
      <c r="B38" s="28" t="s">
        <v>45</v>
      </c>
      <c r="C38" s="117">
        <v>5.6946702691401896</v>
      </c>
      <c r="D38" s="9"/>
      <c r="E38" s="10"/>
    </row>
    <row r="39" spans="1:5" ht="15" customHeight="1" x14ac:dyDescent="0.25">
      <c r="B39" s="28" t="s">
        <v>46</v>
      </c>
      <c r="C39" s="117">
        <v>6.9787128462022396</v>
      </c>
      <c r="D39" s="9"/>
      <c r="E39" s="9"/>
    </row>
    <row r="40" spans="1:5" ht="15" customHeight="1" x14ac:dyDescent="0.25">
      <c r="B40" s="28" t="s">
        <v>47</v>
      </c>
      <c r="C40" s="117">
        <v>19</v>
      </c>
    </row>
    <row r="41" spans="1:5" ht="15" customHeight="1" x14ac:dyDescent="0.25">
      <c r="B41" s="28" t="s">
        <v>48</v>
      </c>
      <c r="C41" s="118">
        <v>4.5999999999999999E-2</v>
      </c>
    </row>
    <row r="42" spans="1:5" ht="15" customHeight="1" x14ac:dyDescent="0.25">
      <c r="B42" s="28" t="s">
        <v>49</v>
      </c>
      <c r="C42" s="117">
        <v>3.2249903579999999</v>
      </c>
    </row>
    <row r="43" spans="1:5" ht="15.75" customHeight="1" x14ac:dyDescent="0.25">
      <c r="D43" s="9"/>
    </row>
    <row r="44" spans="1:5" ht="15.75" customHeight="1" x14ac:dyDescent="0.25">
      <c r="A44" s="113" t="s">
        <v>50</v>
      </c>
      <c r="D44" s="9"/>
    </row>
    <row r="45" spans="1:5" ht="15.75" customHeight="1" x14ac:dyDescent="0.25">
      <c r="B45" s="28" t="s">
        <v>51</v>
      </c>
      <c r="C45" s="47">
        <v>2.11395375E-2</v>
      </c>
      <c r="D45" s="9"/>
    </row>
    <row r="46" spans="1:5" ht="15.75" customHeight="1" x14ac:dyDescent="0.25">
      <c r="B46" s="28" t="s">
        <v>52</v>
      </c>
      <c r="C46" s="47">
        <v>7.4799499999999991E-2</v>
      </c>
      <c r="D46" s="9"/>
    </row>
    <row r="47" spans="1:5" ht="15.75" customHeight="1" x14ac:dyDescent="0.25">
      <c r="B47" s="28" t="s">
        <v>53</v>
      </c>
      <c r="C47" s="47">
        <v>0.13228186250000001</v>
      </c>
      <c r="D47" s="9"/>
      <c r="E47" s="10"/>
    </row>
    <row r="48" spans="1:5" ht="15" customHeight="1" x14ac:dyDescent="0.25">
      <c r="B48" s="28" t="s">
        <v>54</v>
      </c>
      <c r="C48" s="48">
        <v>0.77177909999999994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55</v>
      </c>
      <c r="D50" s="9"/>
    </row>
    <row r="51" spans="1:4" ht="15.75" customHeight="1" x14ac:dyDescent="0.25">
      <c r="B51" s="28" t="s">
        <v>56</v>
      </c>
      <c r="C51" s="51">
        <v>2.8</v>
      </c>
      <c r="D51" s="9"/>
    </row>
    <row r="52" spans="1:4" ht="15" customHeight="1" x14ac:dyDescent="0.25">
      <c r="B52" s="28" t="s">
        <v>57</v>
      </c>
      <c r="C52" s="51">
        <v>2.8</v>
      </c>
    </row>
    <row r="53" spans="1:4" ht="15.75" customHeight="1" x14ac:dyDescent="0.25">
      <c r="B53" s="28" t="s">
        <v>58</v>
      </c>
      <c r="C53" s="51">
        <v>2.8</v>
      </c>
    </row>
    <row r="54" spans="1:4" ht="15.75" customHeight="1" x14ac:dyDescent="0.25">
      <c r="B54" s="28" t="s">
        <v>59</v>
      </c>
      <c r="C54" s="51">
        <v>2.8</v>
      </c>
    </row>
    <row r="55" spans="1:4" ht="15.75" customHeight="1" x14ac:dyDescent="0.25">
      <c r="B55" s="28" t="s">
        <v>60</v>
      </c>
      <c r="C55" s="51">
        <v>2.8</v>
      </c>
    </row>
    <row r="57" spans="1:4" ht="15.75" customHeight="1" x14ac:dyDescent="0.25">
      <c r="A57" s="113" t="s">
        <v>61</v>
      </c>
    </row>
    <row r="58" spans="1:4" ht="15.75" customHeight="1" x14ac:dyDescent="0.25">
      <c r="B58" s="7" t="s">
        <v>62</v>
      </c>
      <c r="C58" s="46">
        <v>1.6202203499675959E-2</v>
      </c>
    </row>
    <row r="59" spans="1:4" ht="15.75" customHeight="1" x14ac:dyDescent="0.25">
      <c r="B59" s="28" t="s">
        <v>63</v>
      </c>
      <c r="C59" s="46">
        <v>0.57320263900278245</v>
      </c>
    </row>
    <row r="60" spans="1:4" ht="15.75" customHeight="1" x14ac:dyDescent="0.25">
      <c r="B60" s="28" t="s">
        <v>64</v>
      </c>
      <c r="C60" s="46">
        <v>4.5999999999999999E-2</v>
      </c>
    </row>
    <row r="61" spans="1:4" ht="15.75" customHeight="1" x14ac:dyDescent="0.25">
      <c r="B61" s="28" t="s">
        <v>65</v>
      </c>
      <c r="C61" s="46">
        <v>1.4E-2</v>
      </c>
    </row>
    <row r="62" spans="1:4" ht="15.75" customHeight="1" x14ac:dyDescent="0.25">
      <c r="B62" s="28" t="s">
        <v>67</v>
      </c>
      <c r="C62" s="119">
        <v>8.1845531000000005</v>
      </c>
    </row>
    <row r="63" spans="1:4" ht="15.75" customHeight="1" x14ac:dyDescent="0.25">
      <c r="A63" s="39"/>
    </row>
  </sheetData>
  <sheetProtection algorithmName="SHA-512" hashValue="w9FuRrZGHs0i/rInWAApEpjYRdQHWGMZA+akwM1IL3FVG4dTTDiFP+UruvsPkxoq9rqHnb5wV4E+ZzUeW/r/qA==" saltValue="CWHl9LLcIYGdkVSmMmWYW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5">
      <c r="A2" s="36" t="s">
        <v>168</v>
      </c>
      <c r="B2" s="115">
        <v>0.18255716799999999</v>
      </c>
      <c r="C2" s="115">
        <v>0.95</v>
      </c>
      <c r="D2" s="116">
        <v>92.337747645899924</v>
      </c>
      <c r="E2" s="60" t="s">
        <v>201</v>
      </c>
      <c r="F2" s="115">
        <v>1</v>
      </c>
      <c r="G2" s="115">
        <v>1</v>
      </c>
    </row>
    <row r="3" spans="1:7" ht="15.75" customHeight="1" x14ac:dyDescent="0.25">
      <c r="A3" s="36" t="s">
        <v>169</v>
      </c>
      <c r="B3" s="115">
        <v>0</v>
      </c>
      <c r="C3" s="115">
        <v>0.95</v>
      </c>
      <c r="D3" s="116">
        <v>40.649110236447719</v>
      </c>
      <c r="E3" s="60" t="s">
        <v>201</v>
      </c>
      <c r="F3" s="115">
        <v>1</v>
      </c>
      <c r="G3" s="115">
        <v>1</v>
      </c>
    </row>
    <row r="4" spans="1:7" ht="15.75" customHeight="1" x14ac:dyDescent="0.25">
      <c r="A4" s="36" t="s">
        <v>170</v>
      </c>
      <c r="B4" s="115">
        <v>0</v>
      </c>
      <c r="C4" s="115">
        <v>0.95</v>
      </c>
      <c r="D4" s="116">
        <v>952.2771040936276</v>
      </c>
      <c r="E4" s="60" t="s">
        <v>201</v>
      </c>
      <c r="F4" s="115">
        <v>1</v>
      </c>
      <c r="G4" s="115">
        <v>1</v>
      </c>
    </row>
    <row r="5" spans="1:7" ht="15.75" customHeight="1" x14ac:dyDescent="0.25">
      <c r="A5" s="36" t="s">
        <v>171</v>
      </c>
      <c r="B5" s="115">
        <v>0</v>
      </c>
      <c r="C5" s="115">
        <v>0.95</v>
      </c>
      <c r="D5" s="116">
        <v>8.6128948600850652</v>
      </c>
      <c r="E5" s="60" t="s">
        <v>201</v>
      </c>
      <c r="F5" s="115">
        <v>1</v>
      </c>
      <c r="G5" s="115">
        <v>1</v>
      </c>
    </row>
    <row r="6" spans="1:7" ht="15.75" customHeight="1" x14ac:dyDescent="0.25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5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5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5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5">
      <c r="A10" s="85" t="s">
        <v>176</v>
      </c>
      <c r="B10" s="115">
        <v>0</v>
      </c>
      <c r="C10" s="115">
        <v>0.95</v>
      </c>
      <c r="D10" s="116">
        <v>13.78140968024363</v>
      </c>
      <c r="E10" s="60" t="s">
        <v>201</v>
      </c>
      <c r="F10" s="115">
        <v>1</v>
      </c>
      <c r="G10" s="115">
        <v>1</v>
      </c>
    </row>
    <row r="11" spans="1:7" ht="15.75" customHeight="1" x14ac:dyDescent="0.25">
      <c r="A11" s="85" t="s">
        <v>177</v>
      </c>
      <c r="B11" s="115">
        <v>0</v>
      </c>
      <c r="C11" s="115">
        <v>0.95</v>
      </c>
      <c r="D11" s="116">
        <v>13.78140968024363</v>
      </c>
      <c r="E11" s="60" t="s">
        <v>201</v>
      </c>
      <c r="F11" s="115">
        <v>1</v>
      </c>
      <c r="G11" s="115">
        <v>1</v>
      </c>
    </row>
    <row r="12" spans="1:7" ht="15.75" customHeight="1" x14ac:dyDescent="0.25">
      <c r="A12" s="85" t="s">
        <v>178</v>
      </c>
      <c r="B12" s="115">
        <v>0</v>
      </c>
      <c r="C12" s="115">
        <v>0.95</v>
      </c>
      <c r="D12" s="116">
        <v>13.78140968024363</v>
      </c>
      <c r="E12" s="60" t="s">
        <v>201</v>
      </c>
      <c r="F12" s="115">
        <v>1</v>
      </c>
      <c r="G12" s="115">
        <v>1</v>
      </c>
    </row>
    <row r="13" spans="1:7" ht="15.75" customHeight="1" x14ac:dyDescent="0.25">
      <c r="A13" s="85" t="s">
        <v>179</v>
      </c>
      <c r="B13" s="115">
        <v>0</v>
      </c>
      <c r="C13" s="115">
        <v>0.95</v>
      </c>
      <c r="D13" s="116">
        <v>13.78140968024363</v>
      </c>
      <c r="E13" s="60" t="s">
        <v>201</v>
      </c>
      <c r="F13" s="115">
        <v>1</v>
      </c>
      <c r="G13" s="115">
        <v>1</v>
      </c>
    </row>
    <row r="14" spans="1:7" ht="15.75" customHeight="1" x14ac:dyDescent="0.25">
      <c r="A14" s="7" t="s">
        <v>180</v>
      </c>
      <c r="B14" s="115">
        <v>0</v>
      </c>
      <c r="C14" s="115">
        <v>0.95</v>
      </c>
      <c r="D14" s="116">
        <v>13.78140968024363</v>
      </c>
      <c r="E14" s="60" t="s">
        <v>201</v>
      </c>
      <c r="F14" s="115">
        <v>1</v>
      </c>
      <c r="G14" s="115">
        <v>1</v>
      </c>
    </row>
    <row r="15" spans="1:7" ht="15.75" customHeight="1" x14ac:dyDescent="0.25">
      <c r="A15" s="7" t="s">
        <v>181</v>
      </c>
      <c r="B15" s="115">
        <v>0</v>
      </c>
      <c r="C15" s="115">
        <v>0.95</v>
      </c>
      <c r="D15" s="116">
        <v>13.78140968024363</v>
      </c>
      <c r="E15" s="60" t="s">
        <v>201</v>
      </c>
      <c r="F15" s="115">
        <v>1</v>
      </c>
      <c r="G15" s="115">
        <v>1</v>
      </c>
    </row>
    <row r="16" spans="1:7" ht="15.75" customHeight="1" x14ac:dyDescent="0.25">
      <c r="A16" s="36" t="s">
        <v>182</v>
      </c>
      <c r="B16" s="115">
        <v>0</v>
      </c>
      <c r="C16" s="115">
        <v>0.95</v>
      </c>
      <c r="D16" s="116">
        <v>1.4881754801389779</v>
      </c>
      <c r="E16" s="60" t="s">
        <v>201</v>
      </c>
      <c r="F16" s="115">
        <v>1</v>
      </c>
      <c r="G16" s="115">
        <v>1</v>
      </c>
    </row>
    <row r="17" spans="1:7" ht="15.75" customHeight="1" x14ac:dyDescent="0.25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" customHeight="1" x14ac:dyDescent="0.25">
      <c r="A18" s="36" t="s">
        <v>157</v>
      </c>
      <c r="B18" s="115">
        <v>0</v>
      </c>
      <c r="C18" s="115">
        <v>0.95</v>
      </c>
      <c r="D18" s="116">
        <v>21.79150990690356</v>
      </c>
      <c r="E18" s="60" t="s">
        <v>201</v>
      </c>
      <c r="F18" s="115">
        <v>1</v>
      </c>
      <c r="G18" s="115">
        <v>1</v>
      </c>
    </row>
    <row r="19" spans="1:7" ht="15.75" customHeight="1" x14ac:dyDescent="0.25">
      <c r="A19" s="36" t="s">
        <v>158</v>
      </c>
      <c r="B19" s="115">
        <v>0</v>
      </c>
      <c r="C19" s="115">
        <v>0.95</v>
      </c>
      <c r="D19" s="116">
        <v>21.79150990690356</v>
      </c>
      <c r="E19" s="60" t="s">
        <v>201</v>
      </c>
      <c r="F19" s="115">
        <v>1</v>
      </c>
      <c r="G19" s="115">
        <v>1</v>
      </c>
    </row>
    <row r="20" spans="1:7" ht="15.75" customHeight="1" x14ac:dyDescent="0.25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5">
      <c r="A21" s="36" t="s">
        <v>184</v>
      </c>
      <c r="B21" s="115">
        <v>0.98499999999999999</v>
      </c>
      <c r="C21" s="115">
        <v>0.95</v>
      </c>
      <c r="D21" s="116">
        <v>91.149218966868133</v>
      </c>
      <c r="E21" s="60" t="s">
        <v>201</v>
      </c>
      <c r="F21" s="115">
        <v>1</v>
      </c>
      <c r="G21" s="115">
        <v>1</v>
      </c>
    </row>
    <row r="22" spans="1:7" ht="15.75" customHeight="1" x14ac:dyDescent="0.25">
      <c r="A22" s="36" t="s">
        <v>185</v>
      </c>
      <c r="B22" s="115">
        <v>0</v>
      </c>
      <c r="C22" s="115">
        <v>0.95</v>
      </c>
      <c r="D22" s="116">
        <v>24.185634611008918</v>
      </c>
      <c r="E22" s="60" t="s">
        <v>201</v>
      </c>
      <c r="F22" s="115">
        <v>1</v>
      </c>
      <c r="G22" s="115">
        <v>1</v>
      </c>
    </row>
    <row r="23" spans="1:7" ht="15.75" customHeight="1" x14ac:dyDescent="0.25">
      <c r="A23" s="36" t="s">
        <v>186</v>
      </c>
      <c r="B23" s="115">
        <v>0</v>
      </c>
      <c r="C23" s="115">
        <v>0.95</v>
      </c>
      <c r="D23" s="116">
        <v>4.7601065600060064</v>
      </c>
      <c r="E23" s="60" t="s">
        <v>201</v>
      </c>
      <c r="F23" s="115">
        <v>1</v>
      </c>
      <c r="G23" s="115">
        <v>1</v>
      </c>
    </row>
    <row r="24" spans="1:7" ht="15.75" customHeight="1" x14ac:dyDescent="0.25">
      <c r="A24" s="36" t="s">
        <v>187</v>
      </c>
      <c r="B24" s="115">
        <v>0.7370952985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5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5">
      <c r="A26" s="36" t="s">
        <v>189</v>
      </c>
      <c r="B26" s="115">
        <v>0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5">
      <c r="A27" s="36" t="s">
        <v>190</v>
      </c>
      <c r="B27" s="115">
        <v>0</v>
      </c>
      <c r="C27" s="115">
        <v>0.95</v>
      </c>
      <c r="D27" s="116">
        <v>19.347107873216441</v>
      </c>
      <c r="E27" s="60" t="s">
        <v>201</v>
      </c>
      <c r="F27" s="115">
        <v>1</v>
      </c>
      <c r="G27" s="115">
        <v>1</v>
      </c>
    </row>
    <row r="28" spans="1:7" ht="15.75" customHeight="1" x14ac:dyDescent="0.25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5">
      <c r="A29" s="36" t="s">
        <v>192</v>
      </c>
      <c r="B29" s="115">
        <v>0</v>
      </c>
      <c r="C29" s="115">
        <v>0.95</v>
      </c>
      <c r="D29" s="116">
        <v>191.95165548538569</v>
      </c>
      <c r="E29" s="60" t="s">
        <v>201</v>
      </c>
      <c r="F29" s="115">
        <v>1</v>
      </c>
      <c r="G29" s="115">
        <v>1</v>
      </c>
    </row>
    <row r="30" spans="1:7" ht="15.75" customHeight="1" x14ac:dyDescent="0.25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5">
      <c r="A31" s="36" t="s">
        <v>161</v>
      </c>
      <c r="B31" s="115">
        <v>0</v>
      </c>
      <c r="C31" s="115">
        <v>0.95</v>
      </c>
      <c r="D31" s="116">
        <v>0.83197235394544489</v>
      </c>
      <c r="E31" s="60" t="s">
        <v>201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3.2744527743238541</v>
      </c>
      <c r="E32" s="60" t="s">
        <v>201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0.64526283546383201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4.9836110403594773</v>
      </c>
      <c r="E38" s="60" t="s">
        <v>201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0.84309924344814502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kJxgi5D6ERz6jNtCLpYStEnTxcEjT7XWL9Q/5HE74h/Pa2Aec8YnTg10hKRBy0zyW/F4+M956/EBdXAY1vAEZw==" saltValue="PtNVQiW1bJ5hqee5JhSr0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160</v>
      </c>
      <c r="B1" s="71" t="s">
        <v>206</v>
      </c>
      <c r="C1" s="71" t="s">
        <v>207</v>
      </c>
    </row>
    <row r="2" spans="1:3" x14ac:dyDescent="0.25">
      <c r="A2" s="61" t="s">
        <v>180</v>
      </c>
      <c r="B2" s="59" t="s">
        <v>190</v>
      </c>
      <c r="C2" s="59"/>
    </row>
    <row r="3" spans="1:3" x14ac:dyDescent="0.25">
      <c r="A3" s="61" t="s">
        <v>181</v>
      </c>
      <c r="B3" s="59" t="s">
        <v>190</v>
      </c>
      <c r="C3" s="59"/>
    </row>
    <row r="4" spans="1:3" x14ac:dyDescent="0.25">
      <c r="A4" s="62" t="s">
        <v>192</v>
      </c>
      <c r="B4" s="59" t="s">
        <v>185</v>
      </c>
      <c r="C4" s="59"/>
    </row>
    <row r="5" spans="1:3" x14ac:dyDescent="0.25">
      <c r="A5" s="62" t="s">
        <v>189</v>
      </c>
      <c r="B5" s="59" t="s">
        <v>185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TbrQOU0367Gt3+fh1cqSh6JuqspYdJHBTNYBfva0V/SjVweMgyGHwnd+moTC0lltS272YmpMdMXiryUUSfV/qQ==" saltValue="zvX3lRAY1HI4n7Z8VH/mXg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160</v>
      </c>
    </row>
    <row r="2" spans="1:1" x14ac:dyDescent="0.25">
      <c r="A2" s="32" t="s">
        <v>172</v>
      </c>
    </row>
    <row r="3" spans="1:1" x14ac:dyDescent="0.25">
      <c r="A3" s="32" t="s">
        <v>182</v>
      </c>
    </row>
    <row r="4" spans="1:1" x14ac:dyDescent="0.25">
      <c r="A4" s="32" t="s">
        <v>186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sheetProtection algorithmName="SHA-512" hashValue="31ogQ2Wgro2W0ZCCz2GVxwhr2hQOOp7JQR6bLE6v3g3L3BMXwCKEx044pJabb4CdtZ+eZHvMP2r25MYop99YMw==" saltValue="veH59GmhEv7rXAEWO9t8H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5">
      <c r="A2" s="4" t="s">
        <v>87</v>
      </c>
      <c r="B2" s="18">
        <f>'Donnees pop de l''annee de ref'!C51</f>
        <v>2.8</v>
      </c>
      <c r="C2" s="18">
        <f>'Donnees pop de l''annee de ref'!C52</f>
        <v>2.8</v>
      </c>
      <c r="D2" s="18">
        <f>'Donnees pop de l''annee de ref'!C53</f>
        <v>2.8</v>
      </c>
      <c r="E2" s="18">
        <f>'Donnees pop de l''annee de ref'!C54</f>
        <v>2.8</v>
      </c>
      <c r="F2" s="18">
        <f>'Donnees pop de l''annee de ref'!C55</f>
        <v>2.8</v>
      </c>
    </row>
    <row r="3" spans="1:6" ht="15.75" customHeight="1" x14ac:dyDescent="0.25">
      <c r="A3" s="4" t="s">
        <v>209</v>
      </c>
      <c r="B3" s="18">
        <f>frac_mam_1month * 2.6</f>
        <v>0.18201947558038559</v>
      </c>
      <c r="C3" s="18">
        <f>frac_mam_1_5months * 2.6</f>
        <v>0.18201947558038559</v>
      </c>
      <c r="D3" s="18">
        <f>frac_mam_6_11months * 2.6</f>
        <v>0.10527129588199952</v>
      </c>
      <c r="E3" s="18">
        <f>frac_mam_12_23months * 2.6</f>
        <v>5.6188773086799863E-2</v>
      </c>
      <c r="F3" s="18">
        <f>frac_mam_24_59months * 2.6</f>
        <v>4.7173474617443208E-2</v>
      </c>
    </row>
    <row r="4" spans="1:6" ht="15.75" customHeight="1" x14ac:dyDescent="0.25">
      <c r="A4" s="4" t="s">
        <v>208</v>
      </c>
      <c r="B4" s="18">
        <f>frac_sam_1month * 2.6</f>
        <v>0.11838290131538888</v>
      </c>
      <c r="C4" s="18">
        <f>frac_sam_1_5months * 2.6</f>
        <v>0.11838290131538888</v>
      </c>
      <c r="D4" s="18">
        <f>frac_sam_6_11months * 2.6</f>
        <v>5.3628706098394707E-2</v>
      </c>
      <c r="E4" s="18">
        <f>frac_sam_12_23months * 2.6</f>
        <v>3.5214787126157339E-2</v>
      </c>
      <c r="F4" s="18">
        <f>frac_sam_24_59months * 2.6</f>
        <v>3.1943934111073664E-2</v>
      </c>
    </row>
  </sheetData>
  <sheetProtection algorithmName="SHA-512" hashValue="V+Pa3Gb1Yi1Xo/0qMalR47mU6GnkYNAI3IXDsl6K72gUT1wzmWn5n0Zb2z04FEATxt9U9K8BGEvtphlwYskfWA==" saltValue="EmAJ1F9hTLZJl6zABz6U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5">
      <c r="A2" s="39" t="s">
        <v>86</v>
      </c>
      <c r="B2" s="7" t="s">
        <v>170</v>
      </c>
      <c r="C2" s="65">
        <v>0</v>
      </c>
      <c r="D2" s="65">
        <f>food_insecure</f>
        <v>0.23599999999999999</v>
      </c>
      <c r="E2" s="65">
        <f>food_insecure</f>
        <v>0.23599999999999999</v>
      </c>
      <c r="F2" s="65">
        <f>food_insecure</f>
        <v>0.23599999999999999</v>
      </c>
      <c r="G2" s="65">
        <f>food_insecure</f>
        <v>0.23599999999999999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185</v>
      </c>
      <c r="C5" s="65">
        <v>0</v>
      </c>
      <c r="D5" s="65">
        <v>0</v>
      </c>
      <c r="E5" s="65">
        <f>food_insecure</f>
        <v>0.23599999999999999</v>
      </c>
      <c r="F5" s="65">
        <f>food_insecure</f>
        <v>0.23599999999999999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191</v>
      </c>
      <c r="C7" s="65">
        <f>diarrhoea_1mo*frac_diarrhea_severe</f>
        <v>4.5366169799092679E-2</v>
      </c>
      <c r="D7" s="65">
        <f>diarrhoea_1_5mo*frac_diarrhea_severe</f>
        <v>4.5366169799092679E-2</v>
      </c>
      <c r="E7" s="65">
        <f>diarrhoea_6_11mo*frac_diarrhea_severe</f>
        <v>4.5366169799092679E-2</v>
      </c>
      <c r="F7" s="65">
        <f>diarrhoea_12_23mo*frac_diarrhea_severe</f>
        <v>4.5366169799092679E-2</v>
      </c>
      <c r="G7" s="65">
        <f>diarrhoea_24_59mo*frac_diarrhea_severe</f>
        <v>4.5366169799092679E-2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192</v>
      </c>
      <c r="C8" s="65">
        <v>0</v>
      </c>
      <c r="D8" s="65">
        <v>0</v>
      </c>
      <c r="E8" s="65">
        <f>food_insecure</f>
        <v>0.23599999999999999</v>
      </c>
      <c r="F8" s="65">
        <f>food_insecure</f>
        <v>0.23599999999999999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205</v>
      </c>
      <c r="C9" s="65">
        <v>0</v>
      </c>
      <c r="D9" s="65">
        <v>0</v>
      </c>
      <c r="E9" s="65">
        <f>food_insecure</f>
        <v>0.23599999999999999</v>
      </c>
      <c r="F9" s="65">
        <f>food_insecure</f>
        <v>0.23599999999999999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161</v>
      </c>
      <c r="C10" s="65">
        <v>0</v>
      </c>
      <c r="D10" s="65">
        <f>IF(ISBLANK(comm_deliv), frac_children_health_facility,1)</f>
        <v>0.72</v>
      </c>
      <c r="E10" s="65">
        <f>IF(ISBLANK(comm_deliv), frac_children_health_facility,1)</f>
        <v>0.72</v>
      </c>
      <c r="F10" s="65">
        <f>IF(ISBLANK(comm_deliv), frac_children_health_facility,1)</f>
        <v>0.72</v>
      </c>
      <c r="G10" s="65">
        <f>IF(ISBLANK(comm_deliv), frac_children_health_facility,1)</f>
        <v>0.72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4.5366169799092679E-2</v>
      </c>
      <c r="D12" s="65">
        <f>diarrhoea_1_5mo*frac_diarrhea_severe</f>
        <v>4.5366169799092679E-2</v>
      </c>
      <c r="E12" s="65">
        <f>diarrhoea_6_11mo*frac_diarrhea_severe</f>
        <v>4.5366169799092679E-2</v>
      </c>
      <c r="F12" s="65">
        <f>diarrhoea_12_23mo*frac_diarrhea_severe</f>
        <v>4.5366169799092679E-2</v>
      </c>
      <c r="G12" s="65">
        <f>diarrhoea_24_59mo*frac_diarrhea_severe</f>
        <v>4.5366169799092679E-2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0.23599999999999999</v>
      </c>
      <c r="I15" s="65">
        <f>food_insecure</f>
        <v>0.23599999999999999</v>
      </c>
      <c r="J15" s="65">
        <f>food_insecure</f>
        <v>0.23599999999999999</v>
      </c>
      <c r="K15" s="65">
        <f>food_insecure</f>
        <v>0.23599999999999999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0.62</v>
      </c>
      <c r="I18" s="65">
        <f>frac_PW_health_facility</f>
        <v>0.62</v>
      </c>
      <c r="J18" s="65">
        <f>frac_PW_health_facility</f>
        <v>0.62</v>
      </c>
      <c r="K18" s="65">
        <f>frac_PW_health_facility</f>
        <v>0.62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5.0000000000000001E-3</v>
      </c>
      <c r="I19" s="65">
        <f>frac_malaria_risk</f>
        <v>5.0000000000000001E-3</v>
      </c>
      <c r="J19" s="65">
        <f>frac_malaria_risk</f>
        <v>5.0000000000000001E-3</v>
      </c>
      <c r="K19" s="65">
        <f>frac_malaria_risk</f>
        <v>5.0000000000000001E-3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0.249</v>
      </c>
      <c r="M24" s="65">
        <f>famplan_unmet_need</f>
        <v>0.249</v>
      </c>
      <c r="N24" s="65">
        <f>famplan_unmet_need</f>
        <v>0.249</v>
      </c>
      <c r="O24" s="65">
        <f>famplan_unmet_need</f>
        <v>0.249</v>
      </c>
    </row>
    <row r="25" spans="1:15" ht="15.75" customHeight="1" x14ac:dyDescent="0.25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0.10324074217529315</v>
      </c>
      <c r="M25" s="65">
        <f>(1-food_insecure)*(0.49)+food_insecure*(0.7)</f>
        <v>0.53956000000000004</v>
      </c>
      <c r="N25" s="65">
        <f>(1-food_insecure)*(0.49)+food_insecure*(0.7)</f>
        <v>0.53956000000000004</v>
      </c>
      <c r="O25" s="65">
        <f>(1-food_insecure)*(0.49)+food_insecure*(0.7)</f>
        <v>0.53956000000000004</v>
      </c>
    </row>
    <row r="26" spans="1:15" ht="15.75" customHeight="1" x14ac:dyDescent="0.25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4.4246032360839918E-2</v>
      </c>
      <c r="M26" s="65">
        <f>(1-food_insecure)*(0.21)+food_insecure*(0.3)</f>
        <v>0.23124</v>
      </c>
      <c r="N26" s="65">
        <f>(1-food_insecure)*(0.21)+food_insecure*(0.3)</f>
        <v>0.23124</v>
      </c>
      <c r="O26" s="65">
        <f>(1-food_insecure)*(0.21)+food_insecure*(0.3)</f>
        <v>0.23124</v>
      </c>
    </row>
    <row r="27" spans="1:15" ht="15.75" customHeight="1" x14ac:dyDescent="0.25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4.3855693725586009E-2</v>
      </c>
      <c r="M27" s="65">
        <f>(1-food_insecure)*(0.3)</f>
        <v>0.22919999999999999</v>
      </c>
      <c r="N27" s="65">
        <f>(1-food_insecure)*(0.3)</f>
        <v>0.22919999999999999</v>
      </c>
      <c r="O27" s="65">
        <f>(1-food_insecure)*(0.3)</f>
        <v>0.22919999999999999</v>
      </c>
    </row>
    <row r="28" spans="1:15" ht="15.75" customHeight="1" x14ac:dyDescent="0.25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0.80865753173828092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186</v>
      </c>
      <c r="C34" s="65">
        <f t="shared" ref="C34:O34" si="3">frac_malaria_risk</f>
        <v>5.0000000000000001E-3</v>
      </c>
      <c r="D34" s="65">
        <f t="shared" si="3"/>
        <v>5.0000000000000001E-3</v>
      </c>
      <c r="E34" s="65">
        <f t="shared" si="3"/>
        <v>5.0000000000000001E-3</v>
      </c>
      <c r="F34" s="65">
        <f t="shared" si="3"/>
        <v>5.0000000000000001E-3</v>
      </c>
      <c r="G34" s="65">
        <f t="shared" si="3"/>
        <v>5.0000000000000001E-3</v>
      </c>
      <c r="H34" s="65">
        <f t="shared" si="3"/>
        <v>5.0000000000000001E-3</v>
      </c>
      <c r="I34" s="65">
        <f t="shared" si="3"/>
        <v>5.0000000000000001E-3</v>
      </c>
      <c r="J34" s="65">
        <f t="shared" si="3"/>
        <v>5.0000000000000001E-3</v>
      </c>
      <c r="K34" s="65">
        <f t="shared" si="3"/>
        <v>5.0000000000000001E-3</v>
      </c>
      <c r="L34" s="65">
        <f t="shared" si="3"/>
        <v>5.0000000000000001E-3</v>
      </c>
      <c r="M34" s="65">
        <f t="shared" si="3"/>
        <v>5.0000000000000001E-3</v>
      </c>
      <c r="N34" s="65">
        <f t="shared" si="3"/>
        <v>5.0000000000000001E-3</v>
      </c>
      <c r="O34" s="65">
        <f t="shared" si="3"/>
        <v>5.0000000000000001E-3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sheetProtection algorithmName="SHA-512" hashValue="ESij4Cu6gN99BcorKm2AJ1oUUY7+upDWYgNTF9/YSGSuA0Yi0qDQsaPZWRerMU4jVs+j2tzMloIhf8HAlznLqQ==" saltValue="lmc1eOyBwbrWFBEr3myc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201</v>
      </c>
    </row>
    <row r="2" spans="1:1" x14ac:dyDescent="0.25">
      <c r="A2" s="113" t="s">
        <v>212</v>
      </c>
    </row>
    <row r="3" spans="1:1" x14ac:dyDescent="0.25">
      <c r="A3" s="113" t="s">
        <v>213</v>
      </c>
    </row>
    <row r="4" spans="1:1" x14ac:dyDescent="0.25">
      <c r="A4" s="113" t="s">
        <v>214</v>
      </c>
    </row>
  </sheetData>
  <sheetProtection algorithmName="SHA-512" hashValue="uXMsl7JJoZv9DBhGEfc0khiAb/avswVsA+o7OyhG6F+Q9xDB5FU5/VAlr5YgM+Mx7q75JQx1B3mISec0aN1pHA==" saltValue="sncMZwRvdg91wZc0Unct+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8" customHeight="1" x14ac:dyDescent="0.25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m99D4ozh/OmjuE1YJlmMmY6fvLgr7u7V1nPx9gga8SRJbfFSKFDASWsw+CoIjqhDZ5xWHTo8stNyL0EbbEzU5A==" saltValue="ZyDwUTjp60/DREcqxrIm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3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4NkvoSOPh6zdTpt6KZR+xJZ+7GoMFnWZW2JYYKFAShPLTUsp6joxCgDhYB6ed7qx1QWzbgiUGHSuPsbVLOd9HA==" saltValue="1K5YiRoqWvzrkRhN5aG9t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5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5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5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5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5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5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5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5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5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5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5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5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5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5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5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5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5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5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5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Z2MOh4h6uvUeLr7N6zf0FbMu3i3t3bnVf8IDug6bxpXp4GcisPgnWTLGrhe9odK9ay7PCP+GxJ/ld8PHA5H38A==" saltValue="QR//NCFuGgul8UmMizmn8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5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5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5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5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5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5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5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5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5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5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5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5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5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iQEragN4WkX3GX7/xaZdEfFU7V/ytP/fnUeRhdVGJ1v4YSwbSa7J8e/gjsIGIaN8LSl/v78zYj8ZQESsmkHHbA==" saltValue="OJpJH71FhkX1iO8ytaeq8w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5">
      <c r="A2" s="7">
        <f>start_year</f>
        <v>2021</v>
      </c>
      <c r="B2" s="52">
        <v>179137.54560000001</v>
      </c>
      <c r="C2" s="53">
        <v>498000</v>
      </c>
      <c r="D2" s="53">
        <v>1027000</v>
      </c>
      <c r="E2" s="53">
        <v>12058000</v>
      </c>
      <c r="F2" s="53">
        <v>10671000</v>
      </c>
      <c r="G2" s="14">
        <f t="shared" ref="G2:G11" si="0">C2+D2+E2+F2</f>
        <v>24254000</v>
      </c>
      <c r="H2" s="14">
        <f t="shared" ref="H2:H11" si="1">(B2 + stillbirth*B2/(1000-stillbirth))/(1-abortion)</f>
        <v>188382.73754363845</v>
      </c>
      <c r="I2" s="14">
        <f t="shared" ref="I2:I11" si="2">G2-H2</f>
        <v>24065617.262456361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177216.16959999999</v>
      </c>
      <c r="C3" s="53">
        <v>499000</v>
      </c>
      <c r="D3" s="53">
        <v>1013000</v>
      </c>
      <c r="E3" s="53">
        <v>11838000</v>
      </c>
      <c r="F3" s="53">
        <v>10810000</v>
      </c>
      <c r="G3" s="14">
        <f t="shared" si="0"/>
        <v>24160000</v>
      </c>
      <c r="H3" s="14">
        <f t="shared" si="1"/>
        <v>186362.20036636316</v>
      </c>
      <c r="I3" s="14">
        <f t="shared" si="2"/>
        <v>23973637.799633637</v>
      </c>
    </row>
    <row r="4" spans="1:9" ht="15.75" customHeight="1" x14ac:dyDescent="0.25">
      <c r="A4" s="7">
        <f t="shared" si="3"/>
        <v>2023</v>
      </c>
      <c r="B4" s="52">
        <v>175323.6832</v>
      </c>
      <c r="C4" s="53">
        <v>501000</v>
      </c>
      <c r="D4" s="53">
        <v>1005000</v>
      </c>
      <c r="E4" s="53">
        <v>11511000</v>
      </c>
      <c r="F4" s="53">
        <v>10930000</v>
      </c>
      <c r="G4" s="14">
        <f t="shared" si="0"/>
        <v>23947000</v>
      </c>
      <c r="H4" s="14">
        <f t="shared" si="1"/>
        <v>184372.04376573532</v>
      </c>
      <c r="I4" s="14">
        <f t="shared" si="2"/>
        <v>23762627.956234265</v>
      </c>
    </row>
    <row r="5" spans="1:9" ht="15.75" customHeight="1" x14ac:dyDescent="0.25">
      <c r="A5" s="7">
        <f t="shared" si="3"/>
        <v>2024</v>
      </c>
      <c r="B5" s="52">
        <v>173469.00339999999</v>
      </c>
      <c r="C5" s="53">
        <v>502000</v>
      </c>
      <c r="D5" s="53">
        <v>1000000</v>
      </c>
      <c r="E5" s="53">
        <v>11094000</v>
      </c>
      <c r="F5" s="53">
        <v>11069000</v>
      </c>
      <c r="G5" s="14">
        <f t="shared" si="0"/>
        <v>23665000</v>
      </c>
      <c r="H5" s="14">
        <f t="shared" si="1"/>
        <v>182421.6449433073</v>
      </c>
      <c r="I5" s="14">
        <f t="shared" si="2"/>
        <v>23482578.355056692</v>
      </c>
    </row>
    <row r="6" spans="1:9" ht="15.75" customHeight="1" x14ac:dyDescent="0.25">
      <c r="A6" s="7">
        <f t="shared" si="3"/>
        <v>2025</v>
      </c>
      <c r="B6" s="52">
        <v>171633.35</v>
      </c>
      <c r="C6" s="53">
        <v>499000</v>
      </c>
      <c r="D6" s="53">
        <v>994000</v>
      </c>
      <c r="E6" s="53">
        <v>10599000</v>
      </c>
      <c r="F6" s="53">
        <v>11246000</v>
      </c>
      <c r="G6" s="14">
        <f t="shared" si="0"/>
        <v>23338000</v>
      </c>
      <c r="H6" s="14">
        <f t="shared" si="1"/>
        <v>180491.25446310369</v>
      </c>
      <c r="I6" s="14">
        <f t="shared" si="2"/>
        <v>23157508.745536897</v>
      </c>
    </row>
    <row r="7" spans="1:9" ht="15.75" customHeight="1" x14ac:dyDescent="0.25">
      <c r="A7" s="7">
        <f t="shared" si="3"/>
        <v>2026</v>
      </c>
      <c r="B7" s="52">
        <v>170175.91500000001</v>
      </c>
      <c r="C7" s="53">
        <v>494000</v>
      </c>
      <c r="D7" s="53">
        <v>991000</v>
      </c>
      <c r="E7" s="53">
        <v>10022000</v>
      </c>
      <c r="F7" s="53">
        <v>11435000</v>
      </c>
      <c r="G7" s="14">
        <f t="shared" si="0"/>
        <v>22942000</v>
      </c>
      <c r="H7" s="14">
        <f t="shared" si="1"/>
        <v>178958.60203017943</v>
      </c>
      <c r="I7" s="14">
        <f t="shared" si="2"/>
        <v>22763041.39796982</v>
      </c>
    </row>
    <row r="8" spans="1:9" ht="15.75" customHeight="1" x14ac:dyDescent="0.25">
      <c r="A8" s="7">
        <f t="shared" si="3"/>
        <v>2027</v>
      </c>
      <c r="B8" s="52">
        <v>168724.432</v>
      </c>
      <c r="C8" s="53">
        <v>486000</v>
      </c>
      <c r="D8" s="53">
        <v>989000</v>
      </c>
      <c r="E8" s="53">
        <v>9370000</v>
      </c>
      <c r="F8" s="53">
        <v>11652000</v>
      </c>
      <c r="G8" s="14">
        <f t="shared" si="0"/>
        <v>22497000</v>
      </c>
      <c r="H8" s="14">
        <f t="shared" si="1"/>
        <v>177432.20877675945</v>
      </c>
      <c r="I8" s="14">
        <f t="shared" si="2"/>
        <v>22319567.791223239</v>
      </c>
    </row>
    <row r="9" spans="1:9" ht="15.75" customHeight="1" x14ac:dyDescent="0.25">
      <c r="A9" s="7">
        <f t="shared" si="3"/>
        <v>2028</v>
      </c>
      <c r="B9" s="52">
        <v>167251.682</v>
      </c>
      <c r="C9" s="53">
        <v>477000</v>
      </c>
      <c r="D9" s="53">
        <v>987000</v>
      </c>
      <c r="E9" s="53">
        <v>8696000</v>
      </c>
      <c r="F9" s="53">
        <v>11852000</v>
      </c>
      <c r="G9" s="14">
        <f t="shared" si="0"/>
        <v>22012000</v>
      </c>
      <c r="H9" s="14">
        <f t="shared" si="1"/>
        <v>175883.45094495968</v>
      </c>
      <c r="I9" s="14">
        <f t="shared" si="2"/>
        <v>21836116.54905504</v>
      </c>
    </row>
    <row r="10" spans="1:9" ht="15.75" customHeight="1" x14ac:dyDescent="0.25">
      <c r="A10" s="7">
        <f t="shared" si="3"/>
        <v>2029</v>
      </c>
      <c r="B10" s="52">
        <v>165766.986</v>
      </c>
      <c r="C10" s="53">
        <v>467000</v>
      </c>
      <c r="D10" s="53">
        <v>984000</v>
      </c>
      <c r="E10" s="53">
        <v>8082000</v>
      </c>
      <c r="F10" s="53">
        <v>11971000</v>
      </c>
      <c r="G10" s="14">
        <f t="shared" si="0"/>
        <v>21504000</v>
      </c>
      <c r="H10" s="14">
        <f t="shared" si="1"/>
        <v>174322.13058655406</v>
      </c>
      <c r="I10" s="14">
        <f t="shared" si="2"/>
        <v>21329677.869413447</v>
      </c>
    </row>
    <row r="11" spans="1:9" ht="15.75" customHeight="1" x14ac:dyDescent="0.25">
      <c r="A11" s="7">
        <f t="shared" si="3"/>
        <v>2030</v>
      </c>
      <c r="B11" s="52">
        <v>164261.519</v>
      </c>
      <c r="C11" s="53">
        <v>460000</v>
      </c>
      <c r="D11" s="53">
        <v>980000</v>
      </c>
      <c r="E11" s="53">
        <v>7580000</v>
      </c>
      <c r="F11" s="53">
        <v>11970000</v>
      </c>
      <c r="G11" s="14">
        <f t="shared" si="0"/>
        <v>20990000</v>
      </c>
      <c r="H11" s="14">
        <f t="shared" si="1"/>
        <v>172738.96724806068</v>
      </c>
      <c r="I11" s="14">
        <f t="shared" si="2"/>
        <v>20817261.03275194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Zl77Nqy8n11dGRwyNw/g6jkfpwpI3kSZbE28QdLPbhV/+sztI0NAxZlQlyKxsasFp8FUdHs1kxXRCsdnaYJY0A==" saltValue="q2oGbzDL6UXCjhdxJdykbg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5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5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5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aDA1d/5Rrp59ExSHbTT/+yumkFur5fqDKgXdlxkiG24GkAPFnmZrgS0dYO/ApAdFVhCzJs8lTt0JVkZNahVPKw==" saltValue="T3rkKrL1a5vyZv0yw4gM0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245</v>
      </c>
      <c r="C11" s="82"/>
      <c r="D11" s="83"/>
      <c r="E11" s="83"/>
      <c r="F11" s="83"/>
    </row>
    <row r="12" spans="1:6" ht="15.75" customHeight="1" x14ac:dyDescent="0.25">
      <c r="A12" s="71" t="s">
        <v>246</v>
      </c>
      <c r="C12" s="80"/>
      <c r="D12" s="72"/>
      <c r="E12" s="72"/>
      <c r="F12" s="72"/>
    </row>
    <row r="13" spans="1:6" ht="15.75" customHeight="1" x14ac:dyDescent="0.25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5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251</v>
      </c>
      <c r="C39" s="80"/>
      <c r="D39" s="72"/>
      <c r="E39" s="72"/>
      <c r="F39" s="72"/>
    </row>
    <row r="40" spans="1:6" ht="15.75" customHeight="1" x14ac:dyDescent="0.25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5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5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5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254</v>
      </c>
      <c r="C66" s="80"/>
      <c r="D66" s="72"/>
      <c r="E66" s="72"/>
      <c r="F66" s="72"/>
    </row>
    <row r="67" spans="1:6" ht="15.75" customHeight="1" x14ac:dyDescent="0.25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5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z93Byf0A/McgVaME8XPal7q13nnbZ3k+aaubACENv6wHxSN2jPTbeqwnUFvdw3xrvkmQOzPxZ7Vd9zQXKDc7jg==" saltValue="fjBoaNRwXDhxzAVOgPXdC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278</v>
      </c>
    </row>
    <row r="29" spans="1:16" x14ac:dyDescent="0.25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271</v>
      </c>
    </row>
    <row r="56" spans="1:16" ht="26.4" customHeight="1" x14ac:dyDescent="0.25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5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275</v>
      </c>
    </row>
    <row r="65" spans="1:16" ht="26.4" customHeight="1" x14ac:dyDescent="0.25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277</v>
      </c>
    </row>
    <row r="104" spans="1:16" ht="26.4" customHeight="1" x14ac:dyDescent="0.25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5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5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5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5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5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5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5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5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5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5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+CxJoHBYeGxPZJDgNq8sjj2HB+XdZJTp3c0GssgBP3qEWjcAF5ggUxzNoZGeONl+QhCrEyNsY8fpIumy/z3eQQ==" saltValue="FtXPr5vXvpMyAlVLgc5rU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233</v>
      </c>
    </row>
    <row r="2" spans="1:7" ht="14.25" customHeight="1" x14ac:dyDescent="0.25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5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282</v>
      </c>
    </row>
    <row r="6" spans="1:7" ht="14.25" customHeight="1" x14ac:dyDescent="0.25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283</v>
      </c>
    </row>
    <row r="15" spans="1:7" ht="14.25" customHeight="1" x14ac:dyDescent="0.25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288</v>
      </c>
    </row>
    <row r="20" spans="1:7" s="77" customFormat="1" ht="14.25" customHeight="1" x14ac:dyDescent="0.25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5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233</v>
      </c>
      <c r="B24" s="84"/>
      <c r="C24" s="84"/>
      <c r="D24" s="84"/>
      <c r="E24" s="84"/>
      <c r="F24" s="84"/>
      <c r="G24" s="84"/>
    </row>
    <row r="25" spans="1:7" x14ac:dyDescent="0.25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5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291</v>
      </c>
    </row>
    <row r="29" spans="1:7" x14ac:dyDescent="0.25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295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283</v>
      </c>
      <c r="B37" s="84"/>
      <c r="C37" s="84"/>
      <c r="D37" s="84"/>
      <c r="E37" s="84"/>
      <c r="F37" s="84"/>
      <c r="G37" s="84"/>
    </row>
    <row r="38" spans="1:7" x14ac:dyDescent="0.25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300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5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233</v>
      </c>
      <c r="B47" s="84"/>
      <c r="C47" s="84"/>
      <c r="D47" s="84"/>
      <c r="E47" s="84"/>
      <c r="F47" s="84"/>
      <c r="G47" s="84"/>
    </row>
    <row r="48" spans="1:7" x14ac:dyDescent="0.25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5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304</v>
      </c>
    </row>
    <row r="52" spans="1:7" x14ac:dyDescent="0.25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308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283</v>
      </c>
      <c r="B60" s="84"/>
      <c r="C60" s="84"/>
      <c r="D60" s="84"/>
      <c r="E60" s="84"/>
      <c r="F60" s="84"/>
      <c r="G60" s="84"/>
    </row>
    <row r="61" spans="1:7" x14ac:dyDescent="0.25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313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5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WXI3zHG5MTm4Wvf93JxRxaZCjJC64htgKVNHrXt7bgLzRI+setBjryHt6UNneTwmonsWoToOF8vnzC0axbn5Lg==" saltValue="/OZvl0dNUlV1iqehpEA1U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5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5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5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RATh2rVmPczz4ID+X6SXQX29tcN/BbIQRrks5LyAZ5eYqz398z53JMQKz7whUeQmoOBwIU8Q3GGE8EY6qcUrZw==" saltValue="Sm/jIfytkdqaOGopvEmJC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5">
      <c r="A2" s="71" t="s">
        <v>319</v>
      </c>
    </row>
    <row r="3" spans="1:15" x14ac:dyDescent="0.25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320</v>
      </c>
      <c r="B17" s="85"/>
    </row>
    <row r="18" spans="1:15" x14ac:dyDescent="0.25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5">
      <c r="A25" s="71" t="s">
        <v>321</v>
      </c>
    </row>
    <row r="26" spans="1:15" x14ac:dyDescent="0.25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323</v>
      </c>
      <c r="B40" s="85"/>
    </row>
    <row r="41" spans="1:15" x14ac:dyDescent="0.25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5">
      <c r="A48" s="71" t="s">
        <v>322</v>
      </c>
    </row>
    <row r="49" spans="1:15" x14ac:dyDescent="0.25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324</v>
      </c>
      <c r="B63" s="85"/>
    </row>
    <row r="64" spans="1:15" x14ac:dyDescent="0.25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8A6GEtQU5hkVgMnQCHPypfP/pw8KPg7bBCm/MgpDpZNARto8GxnoPBCqZOBPV91+lBmFFqjkQcgOmy/kW2T/Nw==" saltValue="ai5DLtPj7m2WjCM+yMoa7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5">
      <c r="A2" s="71" t="s">
        <v>325</v>
      </c>
    </row>
    <row r="3" spans="1:7" x14ac:dyDescent="0.25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326</v>
      </c>
      <c r="B4" s="85"/>
      <c r="C4" s="97"/>
      <c r="D4" s="97"/>
      <c r="E4" s="97"/>
      <c r="F4" s="97"/>
      <c r="G4" s="97"/>
    </row>
    <row r="5" spans="1:7" x14ac:dyDescent="0.25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331</v>
      </c>
    </row>
    <row r="8" spans="1:7" x14ac:dyDescent="0.25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5">
      <c r="A9" s="71" t="s">
        <v>327</v>
      </c>
    </row>
    <row r="10" spans="1:7" x14ac:dyDescent="0.25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328</v>
      </c>
      <c r="B11" s="85"/>
      <c r="C11" s="97"/>
      <c r="D11" s="97"/>
      <c r="E11" s="97"/>
      <c r="F11" s="97"/>
      <c r="G11" s="97"/>
    </row>
    <row r="12" spans="1:7" x14ac:dyDescent="0.25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332</v>
      </c>
    </row>
    <row r="15" spans="1:7" x14ac:dyDescent="0.25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5">
      <c r="A16" s="71" t="s">
        <v>329</v>
      </c>
    </row>
    <row r="17" spans="1:7" x14ac:dyDescent="0.25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330</v>
      </c>
      <c r="B18" s="85"/>
      <c r="C18" s="97"/>
      <c r="D18" s="97"/>
      <c r="E18" s="97"/>
      <c r="F18" s="97"/>
      <c r="G18" s="97"/>
    </row>
    <row r="19" spans="1:7" x14ac:dyDescent="0.25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9RJ4e3tD2Hy4ap16PRKGnzyhtugZ38BIgs2RcAn153DNcBhaCr8cwCrKmw3MD8v9fpYaFQQHXWOykniLUHjIOg==" saltValue="6extd9ZmhnPk0gaR2E6/x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5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331</v>
      </c>
      <c r="B55" s="112"/>
      <c r="C55" s="112"/>
    </row>
    <row r="56" spans="1:8" x14ac:dyDescent="0.25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5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332</v>
      </c>
      <c r="B110" s="112"/>
      <c r="C110" s="112"/>
    </row>
    <row r="111" spans="1:8" x14ac:dyDescent="0.25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5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AoppYGskBtZClZCJxxPTtVntr8VoHsmzNDjf0++x+n7heqBqoTA5opkCOTMaRLhqaS7R2wT74OoTDfgJkvCOAQ==" saltValue="aL0lBdaxBEoFNhaifQMwP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5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331</v>
      </c>
    </row>
    <row r="10" spans="1:8" x14ac:dyDescent="0.25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5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332</v>
      </c>
    </row>
    <row r="19" spans="1:7" x14ac:dyDescent="0.25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5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6HAuueWNXokaDvc6AkaRucOzhoyaXfjjVPgptuZyC+Mt4k177HIBLJaqVKQF4PMKh78cfOPw/Klx6FUys69sqg==" saltValue="DYGbY0dqGgtNOnEBDD3fW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5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5">
      <c r="B3" s="16" t="s">
        <v>78</v>
      </c>
      <c r="C3" s="54">
        <v>0</v>
      </c>
    </row>
    <row r="4" spans="1:8" ht="15.75" customHeight="1" x14ac:dyDescent="0.25">
      <c r="B4" s="16" t="s">
        <v>79</v>
      </c>
      <c r="C4" s="54">
        <v>1.6926218717804649E-2</v>
      </c>
    </row>
    <row r="5" spans="1:8" ht="15.75" customHeight="1" x14ac:dyDescent="0.25">
      <c r="B5" s="16" t="s">
        <v>80</v>
      </c>
      <c r="C5" s="54">
        <v>0.10869605779531261</v>
      </c>
    </row>
    <row r="6" spans="1:8" ht="15.75" customHeight="1" x14ac:dyDescent="0.25">
      <c r="B6" s="16" t="s">
        <v>81</v>
      </c>
      <c r="C6" s="54">
        <v>5.9248256875466553E-2</v>
      </c>
    </row>
    <row r="7" spans="1:8" ht="15.75" customHeight="1" x14ac:dyDescent="0.25">
      <c r="B7" s="16" t="s">
        <v>82</v>
      </c>
      <c r="C7" s="54">
        <v>0.48224904386075579</v>
      </c>
    </row>
    <row r="8" spans="1:8" ht="15.75" customHeight="1" x14ac:dyDescent="0.25">
      <c r="B8" s="16" t="s">
        <v>83</v>
      </c>
      <c r="C8" s="54">
        <v>0</v>
      </c>
    </row>
    <row r="9" spans="1:8" ht="15.75" customHeight="1" x14ac:dyDescent="0.25">
      <c r="B9" s="16" t="s">
        <v>84</v>
      </c>
      <c r="C9" s="54">
        <v>0.25658968115453301</v>
      </c>
    </row>
    <row r="10" spans="1:8" ht="15.75" customHeight="1" x14ac:dyDescent="0.25">
      <c r="B10" s="16" t="s">
        <v>85</v>
      </c>
      <c r="C10" s="54">
        <v>7.6290741596127407E-2</v>
      </c>
    </row>
    <row r="11" spans="1:8" ht="15.75" customHeight="1" x14ac:dyDescent="0.25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5">
      <c r="B14" s="16" t="s">
        <v>87</v>
      </c>
      <c r="C14" s="54">
        <v>4.449461027195783E-3</v>
      </c>
      <c r="D14" s="54">
        <v>4.449461027195783E-3</v>
      </c>
      <c r="E14" s="54">
        <v>4.449461027195783E-3</v>
      </c>
      <c r="F14" s="54">
        <v>4.449461027195783E-3</v>
      </c>
    </row>
    <row r="15" spans="1:8" ht="15.75" customHeight="1" x14ac:dyDescent="0.25">
      <c r="B15" s="16" t="s">
        <v>88</v>
      </c>
      <c r="C15" s="54">
        <v>0.42924604033635089</v>
      </c>
      <c r="D15" s="54">
        <v>0.42924604033635089</v>
      </c>
      <c r="E15" s="54">
        <v>0.42924604033635089</v>
      </c>
      <c r="F15" s="54">
        <v>0.42924604033635089</v>
      </c>
    </row>
    <row r="16" spans="1:8" ht="15.75" customHeight="1" x14ac:dyDescent="0.25">
      <c r="B16" s="16" t="s">
        <v>89</v>
      </c>
      <c r="C16" s="54">
        <v>1.5474558425237379E-2</v>
      </c>
      <c r="D16" s="54">
        <v>1.5474558425237379E-2</v>
      </c>
      <c r="E16" s="54">
        <v>1.5474558425237379E-2</v>
      </c>
      <c r="F16" s="54">
        <v>1.5474558425237379E-2</v>
      </c>
    </row>
    <row r="17" spans="1:8" ht="15.75" customHeight="1" x14ac:dyDescent="0.25">
      <c r="B17" s="16" t="s">
        <v>90</v>
      </c>
      <c r="C17" s="54">
        <v>1.652669645312074E-3</v>
      </c>
      <c r="D17" s="54">
        <v>1.652669645312074E-3</v>
      </c>
      <c r="E17" s="54">
        <v>1.652669645312074E-3</v>
      </c>
      <c r="F17" s="54">
        <v>1.652669645312074E-3</v>
      </c>
    </row>
    <row r="18" spans="1:8" ht="15.75" customHeight="1" x14ac:dyDescent="0.25">
      <c r="B18" s="16" t="s">
        <v>91</v>
      </c>
      <c r="C18" s="54">
        <v>0</v>
      </c>
      <c r="D18" s="54">
        <v>0</v>
      </c>
      <c r="E18" s="54">
        <v>0</v>
      </c>
      <c r="F18" s="54">
        <v>0</v>
      </c>
    </row>
    <row r="19" spans="1:8" ht="15.75" customHeight="1" x14ac:dyDescent="0.25">
      <c r="B19" s="16" t="s">
        <v>92</v>
      </c>
      <c r="C19" s="54">
        <v>0</v>
      </c>
      <c r="D19" s="54">
        <v>0</v>
      </c>
      <c r="E19" s="54">
        <v>0</v>
      </c>
      <c r="F19" s="54">
        <v>0</v>
      </c>
    </row>
    <row r="20" spans="1:8" ht="15.75" customHeight="1" x14ac:dyDescent="0.25">
      <c r="B20" s="16" t="s">
        <v>93</v>
      </c>
      <c r="C20" s="54">
        <v>4.1607217409277836E-3</v>
      </c>
      <c r="D20" s="54">
        <v>4.1607217409277836E-3</v>
      </c>
      <c r="E20" s="54">
        <v>4.1607217409277836E-3</v>
      </c>
      <c r="F20" s="54">
        <v>4.1607217409277836E-3</v>
      </c>
    </row>
    <row r="21" spans="1:8" ht="15.75" customHeight="1" x14ac:dyDescent="0.25">
      <c r="B21" s="16" t="s">
        <v>94</v>
      </c>
      <c r="C21" s="54">
        <v>0.1410897828025737</v>
      </c>
      <c r="D21" s="54">
        <v>0.1410897828025737</v>
      </c>
      <c r="E21" s="54">
        <v>0.1410897828025737</v>
      </c>
      <c r="F21" s="54">
        <v>0.1410897828025737</v>
      </c>
    </row>
    <row r="22" spans="1:8" ht="15.75" customHeight="1" x14ac:dyDescent="0.25">
      <c r="B22" s="16" t="s">
        <v>95</v>
      </c>
      <c r="C22" s="54">
        <v>0.40392676602240229</v>
      </c>
      <c r="D22" s="54">
        <v>0.40392676602240229</v>
      </c>
      <c r="E22" s="54">
        <v>0.40392676602240229</v>
      </c>
      <c r="F22" s="54">
        <v>0.40392676602240229</v>
      </c>
    </row>
    <row r="23" spans="1:8" ht="15.75" customHeight="1" x14ac:dyDescent="0.25">
      <c r="B23" s="24" t="s">
        <v>41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101</v>
      </c>
      <c r="C26" s="54">
        <v>7.5199999999999989E-2</v>
      </c>
    </row>
    <row r="27" spans="1:8" ht="15.75" customHeight="1" x14ac:dyDescent="0.25">
      <c r="B27" s="16" t="s">
        <v>102</v>
      </c>
      <c r="C27" s="54">
        <v>5.6800000000000003E-2</v>
      </c>
    </row>
    <row r="28" spans="1:8" ht="15.75" customHeight="1" x14ac:dyDescent="0.25">
      <c r="B28" s="16" t="s">
        <v>103</v>
      </c>
      <c r="C28" s="54">
        <v>0.1226</v>
      </c>
    </row>
    <row r="29" spans="1:8" ht="15.75" customHeight="1" x14ac:dyDescent="0.25">
      <c r="B29" s="16" t="s">
        <v>104</v>
      </c>
      <c r="C29" s="54">
        <v>8.6199999999999999E-2</v>
      </c>
    </row>
    <row r="30" spans="1:8" ht="15.75" customHeight="1" x14ac:dyDescent="0.25">
      <c r="B30" s="16" t="s">
        <v>2</v>
      </c>
      <c r="C30" s="54">
        <v>6.4100000000000004E-2</v>
      </c>
    </row>
    <row r="31" spans="1:8" ht="15.75" customHeight="1" x14ac:dyDescent="0.25">
      <c r="B31" s="16" t="s">
        <v>105</v>
      </c>
      <c r="C31" s="54">
        <v>0.35120000000000001</v>
      </c>
    </row>
    <row r="32" spans="1:8" ht="15.75" customHeight="1" x14ac:dyDescent="0.25">
      <c r="B32" s="16" t="s">
        <v>106</v>
      </c>
      <c r="C32" s="54">
        <v>0.13289999999999999</v>
      </c>
    </row>
    <row r="33" spans="2:3" ht="15.75" customHeight="1" x14ac:dyDescent="0.25">
      <c r="B33" s="16" t="s">
        <v>107</v>
      </c>
      <c r="C33" s="54">
        <v>4.9000000000000002E-2</v>
      </c>
    </row>
    <row r="34" spans="2:3" ht="15.75" customHeight="1" x14ac:dyDescent="0.25">
      <c r="B34" s="16" t="s">
        <v>108</v>
      </c>
      <c r="C34" s="54">
        <v>6.2000000000000152E-2</v>
      </c>
    </row>
    <row r="35" spans="2:3" ht="15.75" customHeight="1" x14ac:dyDescent="0.25">
      <c r="B35" s="24" t="s">
        <v>41</v>
      </c>
      <c r="C35" s="50">
        <f>SUM(C26:C34)</f>
        <v>1.0000000000000002</v>
      </c>
    </row>
  </sheetData>
  <sheetProtection algorithmName="SHA-512" hashValue="iYJfokcu+m1rhl3nqobX/0fd20Zx+WaUugACuPKxFCoEtRuX4zuUMs68jdoHoe8/QZI5W2ileCAx59/4dbm7ZQ==" saltValue="oDtoeMRRa5yx7cFeGnDmSQ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5">
      <c r="A2" s="4" t="s">
        <v>111</v>
      </c>
      <c r="B2" s="7" t="s">
        <v>112</v>
      </c>
      <c r="C2" s="55">
        <v>0.75897158594928593</v>
      </c>
      <c r="D2" s="55">
        <v>0.75897158594928593</v>
      </c>
      <c r="E2" s="55">
        <v>0.75279667846727805</v>
      </c>
      <c r="F2" s="55">
        <v>0.65263384058127993</v>
      </c>
      <c r="G2" s="55">
        <v>0.63213572320395306</v>
      </c>
    </row>
    <row r="3" spans="1:15" ht="15.75" customHeight="1" x14ac:dyDescent="0.25">
      <c r="B3" s="7" t="s">
        <v>113</v>
      </c>
      <c r="C3" s="55">
        <v>0.128580089583161</v>
      </c>
      <c r="D3" s="55">
        <v>0.128580089583161</v>
      </c>
      <c r="E3" s="55">
        <v>0.13371908851254599</v>
      </c>
      <c r="F3" s="55">
        <v>0.18927307502291599</v>
      </c>
      <c r="G3" s="55">
        <v>0.218657676660793</v>
      </c>
    </row>
    <row r="4" spans="1:15" ht="15.75" customHeight="1" x14ac:dyDescent="0.25">
      <c r="B4" s="7" t="s">
        <v>114</v>
      </c>
      <c r="C4" s="56">
        <v>6.8506343215358007E-2</v>
      </c>
      <c r="D4" s="56">
        <v>6.8506343215358007E-2</v>
      </c>
      <c r="E4" s="56">
        <v>6.0878984057916898E-2</v>
      </c>
      <c r="F4" s="56">
        <v>9.30039194557684E-2</v>
      </c>
      <c r="G4" s="56">
        <v>9.5245285743845595E-2</v>
      </c>
    </row>
    <row r="5" spans="1:15" ht="15.75" customHeight="1" x14ac:dyDescent="0.25">
      <c r="B5" s="7" t="s">
        <v>115</v>
      </c>
      <c r="C5" s="56">
        <v>4.4039394498032201E-2</v>
      </c>
      <c r="D5" s="56">
        <v>4.3941744978209497E-2</v>
      </c>
      <c r="E5" s="56">
        <v>5.2605249937791497E-2</v>
      </c>
      <c r="F5" s="56">
        <v>6.5089168596794797E-2</v>
      </c>
      <c r="G5" s="56">
        <v>5.3961321358864688E-2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116</v>
      </c>
      <c r="B8" s="7" t="s">
        <v>117</v>
      </c>
      <c r="C8" s="55">
        <v>0.73451706294635999</v>
      </c>
      <c r="D8" s="55">
        <v>0.73451706294635999</v>
      </c>
      <c r="E8" s="55">
        <v>0.84236733853409507</v>
      </c>
      <c r="F8" s="55">
        <v>0.88962595297866798</v>
      </c>
      <c r="G8" s="55">
        <v>0.90547478730020103</v>
      </c>
    </row>
    <row r="9" spans="1:15" ht="15.75" customHeight="1" x14ac:dyDescent="0.25">
      <c r="B9" s="7" t="s">
        <v>118</v>
      </c>
      <c r="C9" s="55">
        <v>0.14994355956163599</v>
      </c>
      <c r="D9" s="55">
        <v>0.14994355956163599</v>
      </c>
      <c r="E9" s="55">
        <v>9.6517517980254791E-2</v>
      </c>
      <c r="F9" s="55">
        <v>7.5219073566006295E-2</v>
      </c>
      <c r="G9" s="55">
        <v>6.4095675692044191E-2</v>
      </c>
    </row>
    <row r="10" spans="1:15" ht="15.75" customHeight="1" x14ac:dyDescent="0.25">
      <c r="B10" s="7" t="s">
        <v>119</v>
      </c>
      <c r="C10" s="56">
        <v>7.0007490607840603E-2</v>
      </c>
      <c r="D10" s="56">
        <v>7.0007490607840603E-2</v>
      </c>
      <c r="E10" s="56">
        <v>4.0488959954615197E-2</v>
      </c>
      <c r="F10" s="56">
        <v>2.16110665718461E-2</v>
      </c>
      <c r="G10" s="56">
        <v>1.8143644083632001E-2</v>
      </c>
    </row>
    <row r="11" spans="1:15" ht="15.75" customHeight="1" x14ac:dyDescent="0.25">
      <c r="B11" s="7" t="s">
        <v>120</v>
      </c>
      <c r="C11" s="56">
        <v>4.5531885121303413E-2</v>
      </c>
      <c r="D11" s="56">
        <v>4.5531885121303413E-2</v>
      </c>
      <c r="E11" s="56">
        <v>2.0626425422459502E-2</v>
      </c>
      <c r="F11" s="56">
        <v>1.35441488946759E-2</v>
      </c>
      <c r="G11" s="56">
        <v>1.22861285042591E-2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5">
      <c r="B14" s="28" t="s">
        <v>126</v>
      </c>
      <c r="C14" s="57">
        <v>0.57073461624999999</v>
      </c>
      <c r="D14" s="57">
        <v>0.56424493110999996</v>
      </c>
      <c r="E14" s="57">
        <v>0.56424493110999996</v>
      </c>
      <c r="F14" s="57">
        <v>0.275576724198</v>
      </c>
      <c r="G14" s="57">
        <v>0.275576724198</v>
      </c>
      <c r="H14" s="58">
        <v>0.27400000000000002</v>
      </c>
      <c r="I14" s="58">
        <v>0.27400000000000002</v>
      </c>
      <c r="J14" s="58">
        <v>0.27400000000000002</v>
      </c>
      <c r="K14" s="58">
        <v>0.27400000000000002</v>
      </c>
      <c r="L14" s="58">
        <v>0.39174523206400003</v>
      </c>
      <c r="M14" s="58">
        <v>0.34155912541200001</v>
      </c>
      <c r="N14" s="58">
        <v>0.26730782057899999</v>
      </c>
      <c r="O14" s="58">
        <v>0.29989828647549999</v>
      </c>
    </row>
    <row r="15" spans="1:15" ht="15.75" customHeight="1" x14ac:dyDescent="0.25">
      <c r="B15" s="28" t="s">
        <v>127</v>
      </c>
      <c r="C15" s="55">
        <f t="shared" ref="C15:O15" si="0">iron_deficiency_anaemia*C14</f>
        <v>0.3271465882047403</v>
      </c>
      <c r="D15" s="55">
        <f t="shared" si="0"/>
        <v>0.32342668355619514</v>
      </c>
      <c r="E15" s="55">
        <f t="shared" si="0"/>
        <v>0.32342668355619514</v>
      </c>
      <c r="F15" s="55">
        <f t="shared" si="0"/>
        <v>0.15796130555803553</v>
      </c>
      <c r="G15" s="55">
        <f t="shared" si="0"/>
        <v>0.15796130555803553</v>
      </c>
      <c r="H15" s="55">
        <f t="shared" si="0"/>
        <v>0.15705752308676241</v>
      </c>
      <c r="I15" s="55">
        <f t="shared" si="0"/>
        <v>0.15705752308676241</v>
      </c>
      <c r="J15" s="55">
        <f t="shared" si="0"/>
        <v>0.15705752308676241</v>
      </c>
      <c r="K15" s="55">
        <f t="shared" si="0"/>
        <v>0.15705752308676241</v>
      </c>
      <c r="L15" s="55">
        <f t="shared" si="0"/>
        <v>0.22454940083584224</v>
      </c>
      <c r="M15" s="55">
        <f t="shared" si="0"/>
        <v>0.19578259206164075</v>
      </c>
      <c r="N15" s="55">
        <f t="shared" si="0"/>
        <v>0.15322154818196507</v>
      </c>
      <c r="O15" s="55">
        <f t="shared" si="0"/>
        <v>0.17190248924016904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sheetProtection algorithmName="SHA-512" hashValue="N82I7DRQsqDfzv0eRErmjfBWin+LrHMrYIOZKUyBXALmobOPEoQQqFSY/VWRyNR0A/kZRQ2spnMflcSYZAXLhg==" saltValue="ro/ncYpGLUpTQ4zWfTQq9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5">
      <c r="A2" s="4" t="s">
        <v>128</v>
      </c>
      <c r="B2" s="98" t="s">
        <v>129</v>
      </c>
      <c r="C2" s="56">
        <v>0.43501501852123098</v>
      </c>
      <c r="D2" s="56">
        <v>0.23498266272916701</v>
      </c>
      <c r="E2" s="56">
        <v>0</v>
      </c>
      <c r="F2" s="56">
        <v>0</v>
      </c>
      <c r="G2" s="56">
        <v>0</v>
      </c>
    </row>
    <row r="3" spans="1:7" x14ac:dyDescent="0.25">
      <c r="B3" s="98" t="s">
        <v>130</v>
      </c>
      <c r="C3" s="56">
        <v>0.2763713716074</v>
      </c>
      <c r="D3" s="56">
        <v>0.288356971458333</v>
      </c>
      <c r="E3" s="56">
        <v>0</v>
      </c>
      <c r="F3" s="56">
        <v>0</v>
      </c>
      <c r="G3" s="56">
        <v>0</v>
      </c>
    </row>
    <row r="4" spans="1:7" x14ac:dyDescent="0.25">
      <c r="B4" s="98" t="s">
        <v>131</v>
      </c>
      <c r="C4" s="56">
        <v>0.208402150173296</v>
      </c>
      <c r="D4" s="56">
        <v>0.32155992791666699</v>
      </c>
      <c r="E4" s="56">
        <v>0.67901725684710901</v>
      </c>
      <c r="F4" s="56">
        <v>0.33638759210421898</v>
      </c>
      <c r="G4" s="56">
        <v>0</v>
      </c>
    </row>
    <row r="5" spans="1:7" x14ac:dyDescent="0.25">
      <c r="B5" s="98" t="s">
        <v>132</v>
      </c>
      <c r="C5" s="55">
        <v>8.0211459698073112E-2</v>
      </c>
      <c r="D5" s="55">
        <v>0.155100437895833</v>
      </c>
      <c r="E5" s="55">
        <v>0.32098274315289099</v>
      </c>
      <c r="F5" s="55">
        <v>0.66361240789578091</v>
      </c>
      <c r="G5" s="55">
        <v>1</v>
      </c>
    </row>
  </sheetData>
  <sheetProtection algorithmName="SHA-512" hashValue="uiAHbMcRKCZ4ALQjN/SUmHMjuFFS6U9mOBrLwIwj3dNBghrwWNHDB4bdn/RxddN9WCgwl/Hsl3pjAe2UfJja1Q==" saltValue="Dj1eeuOUb+LrnP2YagLq0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feGKp1WuSkXxQxURoe+my9kPnCOY58iaDApYraZg5PN589jc5BMskl1chBf8mte2YwtnyqxFaFDdECEggva6kg==" saltValue="NRw7mqdq9D/4u9fZYav0h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4</v>
      </c>
      <c r="B1" s="39" t="s">
        <v>144</v>
      </c>
    </row>
    <row r="2" spans="1:2" x14ac:dyDescent="0.25">
      <c r="A2" s="113" t="s">
        <v>145</v>
      </c>
      <c r="B2" s="114">
        <v>10</v>
      </c>
    </row>
    <row r="3" spans="1:2" x14ac:dyDescent="0.25">
      <c r="A3" s="113" t="s">
        <v>150</v>
      </c>
      <c r="B3" s="114">
        <v>10</v>
      </c>
    </row>
    <row r="4" spans="1:2" x14ac:dyDescent="0.25">
      <c r="A4" s="113" t="s">
        <v>146</v>
      </c>
      <c r="B4" s="114">
        <v>10</v>
      </c>
    </row>
    <row r="5" spans="1:2" x14ac:dyDescent="0.25">
      <c r="A5" s="113" t="s">
        <v>147</v>
      </c>
      <c r="B5" s="114">
        <v>10</v>
      </c>
    </row>
    <row r="6" spans="1:2" x14ac:dyDescent="0.25">
      <c r="A6" s="113" t="s">
        <v>148</v>
      </c>
      <c r="B6" s="114">
        <v>10</v>
      </c>
    </row>
    <row r="7" spans="1:2" x14ac:dyDescent="0.25">
      <c r="A7" s="113" t="s">
        <v>149</v>
      </c>
      <c r="B7" s="114">
        <v>10</v>
      </c>
    </row>
  </sheetData>
  <sheetProtection algorithmName="SHA-512" hashValue="EyyFaFin4rUIyauPhkHnMkFt8D4v9dA8OsfYseyKtyFdom2MdLLy1nVvcQdU9+90rnkXs9ar9ch5aXJEbRvBIw==" saltValue="CiO2/q1jB9ai5ET3jTUavA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5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5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5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5">
      <c r="B5" s="31" t="s">
        <v>97</v>
      </c>
      <c r="C5" s="59"/>
      <c r="D5" s="59"/>
      <c r="E5" s="38" t="str">
        <f>IF(E$7="","",E$7)</f>
        <v/>
      </c>
    </row>
    <row r="6" spans="1:5" x14ac:dyDescent="0.25">
      <c r="B6" s="31" t="s">
        <v>98</v>
      </c>
      <c r="C6" s="59"/>
      <c r="D6" s="59"/>
      <c r="E6" s="38" t="str">
        <f>IF(E$7="","",E$7)</f>
        <v/>
      </c>
    </row>
    <row r="7" spans="1:5" x14ac:dyDescent="0.25">
      <c r="B7" s="31" t="s">
        <v>156</v>
      </c>
      <c r="C7" s="30"/>
      <c r="D7" s="29"/>
      <c r="E7" s="59"/>
    </row>
    <row r="9" spans="1:5" x14ac:dyDescent="0.25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5">
      <c r="B10" s="31" t="s">
        <v>109</v>
      </c>
      <c r="C10" s="59"/>
      <c r="D10" s="59"/>
      <c r="E10" s="38" t="str">
        <f>IF(E$7="","",E$7)</f>
        <v/>
      </c>
    </row>
    <row r="11" spans="1:5" x14ac:dyDescent="0.25">
      <c r="B11" s="31" t="s">
        <v>96</v>
      </c>
      <c r="C11" s="59"/>
      <c r="D11" s="59"/>
      <c r="E11" s="38" t="str">
        <f>IF(E$7="","",E$7)</f>
        <v/>
      </c>
    </row>
    <row r="12" spans="1:5" x14ac:dyDescent="0.25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5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5">
      <c r="B14" s="31" t="s">
        <v>156</v>
      </c>
      <c r="C14" s="30"/>
      <c r="D14" s="29"/>
      <c r="E14" s="59"/>
    </row>
    <row r="16" spans="1:5" x14ac:dyDescent="0.25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5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5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5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5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5">
      <c r="B21" s="31" t="s">
        <v>156</v>
      </c>
      <c r="C21" s="30"/>
      <c r="D21" s="29"/>
      <c r="E21" s="59"/>
    </row>
  </sheetData>
  <sheetProtection algorithmName="SHA-512" hashValue="nDcDObNzwG/S+SJShB9PxjEIpX8o89B1mZ0BZVBXTlME2luN3ceUvBHByV00tGE/t0R5WGYRVVoRCsY8Islb2w==" saltValue="YBK66f1ABZICMsCFQMV94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5">
      <c r="A2" s="41" t="s">
        <v>160</v>
      </c>
      <c r="B2" s="31" t="s">
        <v>161</v>
      </c>
      <c r="C2" s="31" t="s">
        <v>165</v>
      </c>
      <c r="D2" s="59"/>
    </row>
    <row r="3" spans="1:4" x14ac:dyDescent="0.25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cp9D5QIxBiBRYnhbL6hHNwotuZyYUtMzWh+4UByUxk9407G4b1BVdCtZ9T6v17Rua4aZvZTPhOPpYeNDJiOWXA==" saltValue="+KzZbz8v/lr4QnjOl+raEQ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keywords>lang=fr</cp:keywords>
  <cp:lastModifiedBy>ACER</cp:lastModifiedBy>
  <dcterms:created xsi:type="dcterms:W3CDTF">2017-08-01T10:42:13Z</dcterms:created>
  <dcterms:modified xsi:type="dcterms:W3CDTF">2022-02-01T04:42:08Z</dcterms:modified>
</cp:coreProperties>
</file>