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9312E48-4AE0-49CD-B4C5-477A1DA9D13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38" i="2" l="1"/>
  <c r="A27" i="2"/>
  <c r="A40" i="2"/>
  <c r="A30" i="2"/>
  <c r="A35" i="2"/>
  <c r="A19" i="2"/>
  <c r="I39" i="2"/>
  <c r="A14" i="2"/>
  <c r="A22" i="2"/>
  <c r="A16" i="2"/>
  <c r="A23" i="2"/>
  <c r="A31" i="2"/>
  <c r="A17" i="2"/>
  <c r="A25" i="2"/>
  <c r="A33" i="2"/>
  <c r="A18" i="2"/>
  <c r="A26" i="2"/>
  <c r="A34" i="2"/>
  <c r="A39" i="2"/>
  <c r="A12" i="2"/>
  <c r="A36" i="2"/>
  <c r="A20" i="2"/>
  <c r="A28" i="2"/>
  <c r="A13" i="2"/>
  <c r="A21" i="2"/>
  <c r="A29" i="2"/>
  <c r="A37" i="2"/>
  <c r="D58" i="20"/>
  <c r="A15" i="2"/>
  <c r="A3" i="2"/>
  <c r="A4" i="2" s="1"/>
  <c r="A5" i="2" s="1"/>
  <c r="A6" i="2" s="1"/>
  <c r="A7" i="2" s="1"/>
  <c r="A8" i="2" s="1"/>
  <c r="A9" i="2" s="1"/>
  <c r="A10" i="2" s="1"/>
  <c r="A11" i="2" s="1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<sst xmlns="http://schemas.openxmlformats.org/spreadsheetml/2006/main" count="2092" uniqueCount="337">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</sst>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6586378</v>
      </c>
    </row>
    <row r="8" spans="1:3" ht="15" customHeight="1" x14ac:dyDescent="0.25">
      <c r="B8" s="7" t="s">
        <v>19</v>
      </c>
      <c r="C8" s="46">
        <v>0.13900000000000001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0.8498191070556641</v>
      </c>
    </row>
    <row r="11" spans="1:3" ht="15" customHeight="1" x14ac:dyDescent="0.25">
      <c r="B11" s="7" t="s">
        <v>22</v>
      </c>
      <c r="C11" s="46">
        <v>0.88900000000000001</v>
      </c>
    </row>
    <row r="12" spans="1:3" ht="15" customHeight="1" x14ac:dyDescent="0.25">
      <c r="B12" s="7" t="s">
        <v>23</v>
      </c>
      <c r="C12" s="46">
        <v>0.373</v>
      </c>
    </row>
    <row r="13" spans="1:3" ht="15" customHeight="1" x14ac:dyDescent="0.25">
      <c r="B13" s="7" t="s">
        <v>24</v>
      </c>
      <c r="C13" s="46">
        <v>0.40300000000000002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7.0099999999999996E-2</v>
      </c>
    </row>
    <row r="24" spans="1:3" ht="15" customHeight="1" x14ac:dyDescent="0.25">
      <c r="B24" s="12" t="s">
        <v>33</v>
      </c>
      <c r="C24" s="47">
        <v>0.54359999999999997</v>
      </c>
    </row>
    <row r="25" spans="1:3" ht="15" customHeight="1" x14ac:dyDescent="0.25">
      <c r="B25" s="12" t="s">
        <v>34</v>
      </c>
      <c r="C25" s="47">
        <v>0.36299999999999999</v>
      </c>
    </row>
    <row r="26" spans="1:3" ht="15" customHeight="1" x14ac:dyDescent="0.25">
      <c r="B26" s="12" t="s">
        <v>35</v>
      </c>
      <c r="C26" s="47">
        <v>2.3300000000000001E-2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0.34200000000000003</v>
      </c>
    </row>
    <row r="30" spans="1:3" ht="14.25" customHeight="1" x14ac:dyDescent="0.25">
      <c r="B30" s="22" t="s">
        <v>38</v>
      </c>
      <c r="C30" s="49">
        <v>8.5999999999999993E-2</v>
      </c>
    </row>
    <row r="31" spans="1:3" ht="14.25" customHeight="1" x14ac:dyDescent="0.25">
      <c r="B31" s="22" t="s">
        <v>39</v>
      </c>
      <c r="C31" s="49">
        <v>0.109</v>
      </c>
    </row>
    <row r="32" spans="1:3" ht="14.25" customHeight="1" x14ac:dyDescent="0.25">
      <c r="B32" s="22" t="s">
        <v>40</v>
      </c>
      <c r="C32" s="49">
        <v>0.46300000000000002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5.2784806391885404</v>
      </c>
    </row>
    <row r="38" spans="1:5" ht="15" customHeight="1" x14ac:dyDescent="0.25">
      <c r="B38" s="28" t="s">
        <v>45</v>
      </c>
      <c r="C38" s="117">
        <v>8.6153282712556596</v>
      </c>
      <c r="D38" s="9"/>
      <c r="E38" s="10"/>
    </row>
    <row r="39" spans="1:5" ht="15" customHeight="1" x14ac:dyDescent="0.25">
      <c r="B39" s="28" t="s">
        <v>46</v>
      </c>
      <c r="C39" s="117">
        <v>10.046388231764</v>
      </c>
      <c r="D39" s="9"/>
      <c r="E39" s="9"/>
    </row>
    <row r="40" spans="1:5" ht="15" customHeight="1" x14ac:dyDescent="0.25">
      <c r="B40" s="28" t="s">
        <v>47</v>
      </c>
      <c r="C40" s="117">
        <v>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4.4318235809999997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2.66874E-2</v>
      </c>
      <c r="D45" s="9"/>
    </row>
    <row r="46" spans="1:5" ht="15.75" customHeight="1" x14ac:dyDescent="0.25">
      <c r="B46" s="28" t="s">
        <v>52</v>
      </c>
      <c r="C46" s="47">
        <v>9.2983700000000002E-2</v>
      </c>
      <c r="D46" s="9"/>
    </row>
    <row r="47" spans="1:5" ht="15.75" customHeight="1" x14ac:dyDescent="0.25">
      <c r="B47" s="28" t="s">
        <v>53</v>
      </c>
      <c r="C47" s="47">
        <v>0.18996379999999999</v>
      </c>
      <c r="D47" s="9"/>
      <c r="E47" s="10"/>
    </row>
    <row r="48" spans="1:5" ht="15" customHeight="1" x14ac:dyDescent="0.25">
      <c r="B48" s="28" t="s">
        <v>54</v>
      </c>
      <c r="C48" s="48">
        <v>0.69036510000000006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0.52738981115255845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11.396656</v>
      </c>
    </row>
    <row r="63" spans="1:4" ht="15.75" customHeight="1" x14ac:dyDescent="0.25">
      <c r="A63" s="39"/>
    </row>
  </sheetData>
  <sheetProtection algorithmName="SHA-512" hashValue="8sNX6W3zJ5uRU84p0kNmcwS+VYIcAKoXMfmpH4GX3uchwyq9I0Bbw1pIAe0+bGS70XYayaNwaPpTzp7Dg3iHSw==" saltValue="iXeEoVoNOY9KE2ZEdBO/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0.215708059500061</v>
      </c>
      <c r="C2" s="115">
        <v>0.95</v>
      </c>
      <c r="D2" s="116">
        <v>100.8838400123179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40.840660619620337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1086.2600399420769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2.9040093126562878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13.972960063416251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13.972960063416251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13.972960063416251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13.972960063416251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13.972960063416251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13.972960063416251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1.6797258633116019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24.839970481111401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24.839970481111401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0.97582390000000008</v>
      </c>
      <c r="C21" s="115">
        <v>0.95</v>
      </c>
      <c r="D21" s="116">
        <v>27.799382182381819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24.616622973147329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4.8798255494888956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0.7302286384303901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19.534604961991612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211.45682792792479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0.56632019569628533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3.7054411364622579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0.98875718152611103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3.7084194520624441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0.97297233962778806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2ow6CvXUU6h7mRBYLrwPtmFecisooHBPukj84gWvixB8gR2xKHbRty1wTSShW9CqSnnLWNIx6+q/KWD3T8VqA==" saltValue="7QW3BFX2JKR7DBHr5wgp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LQ1Wux9upUpxxXJdJbjZzvgFiTxWGciKaUNCRG4LxQW0X7COTGk+l2wlYWgxCTfYCDzqaUFqf2W+NtVnpTITw==" saltValue="RXU5O9Z1r9MNecnfpQmM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dqw0uUyl1csk08mSCg9YnAGHL4nOq1VohsxFqhzPNFEJzqgmdmbTX4lT3CsNbcvoIe32dct1FGwEsI3FHknndA==" saltValue="fsSBP54twtJVTlo8gBIt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0.173548232</v>
      </c>
      <c r="C3" s="18">
        <f>frac_mam_1_5months * 2.6</f>
        <v>0.173548232</v>
      </c>
      <c r="D3" s="18">
        <f>frac_mam_6_11months * 2.6</f>
        <v>6.4794191800000012E-2</v>
      </c>
      <c r="E3" s="18">
        <f>frac_mam_12_23months * 2.6</f>
        <v>2.4542515400000003E-2</v>
      </c>
      <c r="F3" s="18">
        <f>frac_mam_24_59months * 2.6</f>
        <v>1.7898596039999999E-2</v>
      </c>
    </row>
    <row r="4" spans="1:6" ht="15.75" customHeight="1" x14ac:dyDescent="0.25">
      <c r="A4" s="4" t="s">
        <v>208</v>
      </c>
      <c r="B4" s="18">
        <f>frac_sam_1month * 2.6</f>
        <v>5.6318347800000002E-2</v>
      </c>
      <c r="C4" s="18">
        <f>frac_sam_1_5months * 2.6</f>
        <v>5.6318347800000002E-2</v>
      </c>
      <c r="D4" s="18">
        <f>frac_sam_6_11months * 2.6</f>
        <v>0</v>
      </c>
      <c r="E4" s="18">
        <f>frac_sam_12_23months * 2.6</f>
        <v>2.418436098E-2</v>
      </c>
      <c r="F4" s="18">
        <f>frac_sam_24_59months * 2.6</f>
        <v>4.0075848799999998E-3</v>
      </c>
    </row>
  </sheetData>
  <sheetProtection algorithmName="SHA-512" hashValue="DOd+ZBWeLCawyTvZg8m4/O9f5dM0HHAq7qbegBi/4LTWfpfLtq3ns/ghrLsJ0/HTD9o+gmvU3Cw7w9pzOganzA==" saltValue="vPF2mmLaqqs1RJrrJ32S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0.13900000000000001</v>
      </c>
      <c r="E2" s="65">
        <f>food_insecure</f>
        <v>0.13900000000000001</v>
      </c>
      <c r="F2" s="65">
        <f>food_insecure</f>
        <v>0.13900000000000001</v>
      </c>
      <c r="G2" s="65">
        <f>food_insecure</f>
        <v>0.13900000000000001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0.13900000000000001</v>
      </c>
      <c r="F5" s="65">
        <f>food_insecure</f>
        <v>0.13900000000000001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4.6986390149060281E-2</v>
      </c>
      <c r="D7" s="65">
        <f>diarrhoea_1_5mo*frac_diarrhea_severe</f>
        <v>4.6986390149060281E-2</v>
      </c>
      <c r="E7" s="65">
        <f>diarrhoea_6_11mo*frac_diarrhea_severe</f>
        <v>4.6986390149060281E-2</v>
      </c>
      <c r="F7" s="65">
        <f>diarrhoea_12_23mo*frac_diarrhea_severe</f>
        <v>4.6986390149060281E-2</v>
      </c>
      <c r="G7" s="65">
        <f>diarrhoea_24_59mo*frac_diarrhea_severe</f>
        <v>4.6986390149060281E-2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0.13900000000000001</v>
      </c>
      <c r="F8" s="65">
        <f>food_insecure</f>
        <v>0.13900000000000001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0.13900000000000001</v>
      </c>
      <c r="F9" s="65">
        <f>food_insecure</f>
        <v>0.13900000000000001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0.373</v>
      </c>
      <c r="E10" s="65">
        <f>IF(ISBLANK(comm_deliv), frac_children_health_facility,1)</f>
        <v>0.373</v>
      </c>
      <c r="F10" s="65">
        <f>IF(ISBLANK(comm_deliv), frac_children_health_facility,1)</f>
        <v>0.373</v>
      </c>
      <c r="G10" s="65">
        <f>IF(ISBLANK(comm_deliv), frac_children_health_facility,1)</f>
        <v>0.373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4.6986390149060281E-2</v>
      </c>
      <c r="D12" s="65">
        <f>diarrhoea_1_5mo*frac_diarrhea_severe</f>
        <v>4.6986390149060281E-2</v>
      </c>
      <c r="E12" s="65">
        <f>diarrhoea_6_11mo*frac_diarrhea_severe</f>
        <v>4.6986390149060281E-2</v>
      </c>
      <c r="F12" s="65">
        <f>diarrhoea_12_23mo*frac_diarrhea_severe</f>
        <v>4.6986390149060281E-2</v>
      </c>
      <c r="G12" s="65">
        <f>diarrhoea_24_59mo*frac_diarrhea_severe</f>
        <v>4.6986390149060281E-2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0.13900000000000001</v>
      </c>
      <c r="I15" s="65">
        <f>food_insecure</f>
        <v>0.13900000000000001</v>
      </c>
      <c r="J15" s="65">
        <f>food_insecure</f>
        <v>0.13900000000000001</v>
      </c>
      <c r="K15" s="65">
        <f>food_insecure</f>
        <v>0.13900000000000001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0.40300000000000002</v>
      </c>
      <c r="M24" s="65">
        <f>famplan_unmet_need</f>
        <v>0.40300000000000002</v>
      </c>
      <c r="N24" s="65">
        <f>famplan_unmet_need</f>
        <v>0.40300000000000002</v>
      </c>
      <c r="O24" s="65">
        <f>famplan_unmet_need</f>
        <v>0.40300000000000002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7.7972417807769756E-2</v>
      </c>
      <c r="M25" s="65">
        <f>(1-food_insecure)*(0.49)+food_insecure*(0.7)</f>
        <v>0.51919000000000004</v>
      </c>
      <c r="N25" s="65">
        <f>(1-food_insecure)*(0.49)+food_insecure*(0.7)</f>
        <v>0.51919000000000004</v>
      </c>
      <c r="O25" s="65">
        <f>(1-food_insecure)*(0.49)+food_insecure*(0.7)</f>
        <v>0.51919000000000004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3.3416750489044182E-2</v>
      </c>
      <c r="M26" s="65">
        <f>(1-food_insecure)*(0.21)+food_insecure*(0.3)</f>
        <v>0.22250999999999999</v>
      </c>
      <c r="N26" s="65">
        <f>(1-food_insecure)*(0.21)+food_insecure*(0.3)</f>
        <v>0.22250999999999999</v>
      </c>
      <c r="O26" s="65">
        <f>(1-food_insecure)*(0.21)+food_insecure*(0.3)</f>
        <v>0.22250999999999999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3.8791724647521959E-2</v>
      </c>
      <c r="M27" s="65">
        <f>(1-food_insecure)*(0.3)</f>
        <v>0.25829999999999997</v>
      </c>
      <c r="N27" s="65">
        <f>(1-food_insecure)*(0.3)</f>
        <v>0.25829999999999997</v>
      </c>
      <c r="O27" s="65">
        <f>(1-food_insecure)*(0.3)</f>
        <v>0.25829999999999997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0.8498191070556641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UEuwR4apSD43zmGBdocR1gX3TM9kmFqRFc9Rd3QNORFxTvMIc6EIgh2cDI9le3jxSF06yolw9iCZ4+opAAUqeA==" saltValue="NFZSJXAl+9jZiZmR2nAR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DirRO2VSfp/o/ofHCnhHqYXN6n/gull3zmqRzxzNGDvptdCdnUNzJhbmwsCGHXLCeqOSwHfai8dfW+fXjnwLPw==" saltValue="HIv6E5CINzOSzjlTEoXp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cclkXox34MfsL21p5PJBJYD0N2rtfPmTtMP4ComyJCt+tl0l38HcXVJfBvKscXnc1pRUgwQvhN6/kKgPMPbUQ==" saltValue="dk+j+TBbVCYt3E/QqiR3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5djkaLsl8FvLQuQKcJlQwaU4u50SliWpcW23d2KtASMROPN4KUqVFjF3U8VWo9mtlSrHJg1AHJhqLSsDCLoe1g==" saltValue="fYAMPrYQAzeZTf1vBoAC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GESObYqWLp922gpA59AnNGsTvcSBpzwMW20GwCCEmdnZMV1q+R7eOzByxkIP8uayQwXpvS1ZBiRdnUzQ+z0Rw==" saltValue="Ay3kSoOG54zmzlC3gF/qN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EUOADzUv6ad640hfKVdrf3zk+AtcgcMrfvAUPUCtTss+f/AbI4PNHwTpG27EMtSWya1AH4vM719KnPsX/sBSaQ==" saltValue="6H5qkGlL+6sa5U6rlxoY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1263888.0190000001</v>
      </c>
      <c r="C2" s="53">
        <v>3314000</v>
      </c>
      <c r="D2" s="53">
        <v>6508000</v>
      </c>
      <c r="E2" s="53">
        <v>496000</v>
      </c>
      <c r="F2" s="53">
        <v>366000</v>
      </c>
      <c r="G2" s="14">
        <f t="shared" ref="G2:G11" si="0">C2+D2+E2+F2</f>
        <v>10684000</v>
      </c>
      <c r="H2" s="14">
        <f t="shared" ref="H2:H11" si="1">(B2 + stillbirth*B2/(1000-stillbirth))/(1-abortion)</f>
        <v>1330727.7592587625</v>
      </c>
      <c r="I2" s="14">
        <f t="shared" ref="I2:I11" si="2">G2-H2</f>
        <v>9353272.240741238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1253282.0828</v>
      </c>
      <c r="C3" s="53">
        <v>3290000</v>
      </c>
      <c r="D3" s="53">
        <v>6523000</v>
      </c>
      <c r="E3" s="53">
        <v>509000</v>
      </c>
      <c r="F3" s="53">
        <v>375000</v>
      </c>
      <c r="G3" s="14">
        <f t="shared" si="0"/>
        <v>10697000</v>
      </c>
      <c r="H3" s="14">
        <f t="shared" si="1"/>
        <v>1319560.9363265897</v>
      </c>
      <c r="I3" s="14">
        <f t="shared" si="2"/>
        <v>9377439.0636734106</v>
      </c>
    </row>
    <row r="4" spans="1:9" ht="15.75" customHeight="1" x14ac:dyDescent="0.25">
      <c r="A4" s="7">
        <f t="shared" si="3"/>
        <v>2023</v>
      </c>
      <c r="B4" s="52">
        <v>1240732.2312</v>
      </c>
      <c r="C4" s="53">
        <v>3261000</v>
      </c>
      <c r="D4" s="53">
        <v>6526000</v>
      </c>
      <c r="E4" s="53">
        <v>520000</v>
      </c>
      <c r="F4" s="53">
        <v>384000</v>
      </c>
      <c r="G4" s="14">
        <f t="shared" si="0"/>
        <v>10691000</v>
      </c>
      <c r="H4" s="14">
        <f t="shared" si="1"/>
        <v>1306347.39553212</v>
      </c>
      <c r="I4" s="14">
        <f t="shared" si="2"/>
        <v>9384652.60446788</v>
      </c>
    </row>
    <row r="5" spans="1:9" ht="15.75" customHeight="1" x14ac:dyDescent="0.25">
      <c r="A5" s="7">
        <f t="shared" si="3"/>
        <v>2024</v>
      </c>
      <c r="B5" s="52">
        <v>1227488.4288000001</v>
      </c>
      <c r="C5" s="53">
        <v>3235000</v>
      </c>
      <c r="D5" s="53">
        <v>6516000</v>
      </c>
      <c r="E5" s="53">
        <v>528000</v>
      </c>
      <c r="F5" s="53">
        <v>394000</v>
      </c>
      <c r="G5" s="14">
        <f t="shared" si="0"/>
        <v>10673000</v>
      </c>
      <c r="H5" s="14">
        <f t="shared" si="1"/>
        <v>1292403.204886368</v>
      </c>
      <c r="I5" s="14">
        <f t="shared" si="2"/>
        <v>9380596.7951136325</v>
      </c>
    </row>
    <row r="6" spans="1:9" ht="15.75" customHeight="1" x14ac:dyDescent="0.25">
      <c r="A6" s="7">
        <f t="shared" si="3"/>
        <v>2025</v>
      </c>
      <c r="B6" s="52">
        <v>1214448.625</v>
      </c>
      <c r="C6" s="53">
        <v>3214000</v>
      </c>
      <c r="D6" s="53">
        <v>6497000</v>
      </c>
      <c r="E6" s="53">
        <v>530000</v>
      </c>
      <c r="F6" s="53">
        <v>405000</v>
      </c>
      <c r="G6" s="14">
        <f t="shared" si="0"/>
        <v>10646000</v>
      </c>
      <c r="H6" s="14">
        <f t="shared" si="1"/>
        <v>1278673.8011487827</v>
      </c>
      <c r="I6" s="14">
        <f t="shared" si="2"/>
        <v>9367326.1988512166</v>
      </c>
    </row>
    <row r="7" spans="1:9" ht="15.75" customHeight="1" x14ac:dyDescent="0.25">
      <c r="A7" s="7">
        <f t="shared" si="3"/>
        <v>2026</v>
      </c>
      <c r="B7" s="52">
        <v>1205093.5728</v>
      </c>
      <c r="C7" s="53">
        <v>3202000</v>
      </c>
      <c r="D7" s="53">
        <v>6473000</v>
      </c>
      <c r="E7" s="53">
        <v>527000</v>
      </c>
      <c r="F7" s="53">
        <v>417000</v>
      </c>
      <c r="G7" s="14">
        <f t="shared" si="0"/>
        <v>10619000</v>
      </c>
      <c r="H7" s="14">
        <f t="shared" si="1"/>
        <v>1268824.0142493825</v>
      </c>
      <c r="I7" s="14">
        <f t="shared" si="2"/>
        <v>9350175.9857506175</v>
      </c>
    </row>
    <row r="8" spans="1:9" ht="15.75" customHeight="1" x14ac:dyDescent="0.25">
      <c r="A8" s="7">
        <f t="shared" si="3"/>
        <v>2027</v>
      </c>
      <c r="B8" s="52">
        <v>1195992.3959999999</v>
      </c>
      <c r="C8" s="53">
        <v>3195000</v>
      </c>
      <c r="D8" s="53">
        <v>6441000</v>
      </c>
      <c r="E8" s="53">
        <v>521000</v>
      </c>
      <c r="F8" s="53">
        <v>429000</v>
      </c>
      <c r="G8" s="14">
        <f t="shared" si="0"/>
        <v>10586000</v>
      </c>
      <c r="H8" s="14">
        <f t="shared" si="1"/>
        <v>1259241.5287541372</v>
      </c>
      <c r="I8" s="14">
        <f t="shared" si="2"/>
        <v>9326758.4712458625</v>
      </c>
    </row>
    <row r="9" spans="1:9" ht="15.75" customHeight="1" x14ac:dyDescent="0.25">
      <c r="A9" s="7">
        <f t="shared" si="3"/>
        <v>2028</v>
      </c>
      <c r="B9" s="52">
        <v>1187089.1103999999</v>
      </c>
      <c r="C9" s="53">
        <v>3189000</v>
      </c>
      <c r="D9" s="53">
        <v>6404000</v>
      </c>
      <c r="E9" s="53">
        <v>511000</v>
      </c>
      <c r="F9" s="53">
        <v>443000</v>
      </c>
      <c r="G9" s="14">
        <f t="shared" si="0"/>
        <v>10547000</v>
      </c>
      <c r="H9" s="14">
        <f t="shared" si="1"/>
        <v>1249867.3997819335</v>
      </c>
      <c r="I9" s="14">
        <f t="shared" si="2"/>
        <v>9297132.6002180669</v>
      </c>
    </row>
    <row r="10" spans="1:9" ht="15.75" customHeight="1" x14ac:dyDescent="0.25">
      <c r="A10" s="7">
        <f t="shared" si="3"/>
        <v>2029</v>
      </c>
      <c r="B10" s="52">
        <v>1178209.2420000001</v>
      </c>
      <c r="C10" s="53">
        <v>3179000</v>
      </c>
      <c r="D10" s="53">
        <v>6368000</v>
      </c>
      <c r="E10" s="53">
        <v>501000</v>
      </c>
      <c r="F10" s="53">
        <v>456000</v>
      </c>
      <c r="G10" s="14">
        <f t="shared" si="0"/>
        <v>10504000</v>
      </c>
      <c r="H10" s="14">
        <f t="shared" si="1"/>
        <v>1240517.926410239</v>
      </c>
      <c r="I10" s="14">
        <f t="shared" si="2"/>
        <v>9263482.0735897608</v>
      </c>
    </row>
    <row r="11" spans="1:9" ht="15.75" customHeight="1" x14ac:dyDescent="0.25">
      <c r="A11" s="7">
        <f t="shared" si="3"/>
        <v>2030</v>
      </c>
      <c r="B11" s="52">
        <v>1169226.4080000001</v>
      </c>
      <c r="C11" s="53">
        <v>3163000</v>
      </c>
      <c r="D11" s="53">
        <v>6335000</v>
      </c>
      <c r="E11" s="53">
        <v>491000</v>
      </c>
      <c r="F11" s="53">
        <v>469000</v>
      </c>
      <c r="G11" s="14">
        <f t="shared" si="0"/>
        <v>10458000</v>
      </c>
      <c r="H11" s="14">
        <f t="shared" si="1"/>
        <v>1231060.0421824327</v>
      </c>
      <c r="I11" s="14">
        <f t="shared" si="2"/>
        <v>9226939.9578175675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U7/nGJrus4dJiZwvE83uF+CNOpUH4Mto4EOgnGeFZXKu0r19eHPEGJ9d4PQOjSzHyHIHOK8BmQneq3hltd30Q==" saltValue="nZntjrWtbLDQiEXkwGlcQ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6v2p4UGskREHyMdEleFVYxuR0YNoAd6ytA+e0oYYUw4Yy/HPPrEIMFyoC12AqqcGuYhi4u9lHRUaZ0ulFu3SpQ==" saltValue="4F1bTfI9zwf6QsTZW3YFR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nbXnvsDla44KSAValr9cQ4zlUXmlJx3MV5x/khfdBqUBHsaeNqb4Txj10Rieu+xOehe1HswMJAHSY/XDpFuAQ==" saltValue="q5yuEPGmhGFM1t2DFviq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3LwNaVRaedcEitlBKRczmNjxFcJdK6OY+cUtvXyc6s6g1Xwuhk3XA50MKoWz3jnCT4lYcaXiQYY8CssJy4siA==" saltValue="URZQkssyNZFzxM/0aRmd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cODl0NQIxsHsGxHq/s8LRWhP5b2C9ZvyhYtEXhceChXUSZsEyuEUYyFqwG8mm21gEq22ZFqSA+Hu91sJCOkBw==" saltValue="fVXZjwlia+Q48qAdVp/T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+q2OSVIdE6y8uHP/61POizIZVIKS8bkWRkA4s5KcPA2HK1flOi+TFIAWzHdzQWYqP5EctHhUnXPNfyQAESth1A==" saltValue="KbPjWRRNyD4SJT7MG4//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r2w4BnrnE314wijIkeyy9PSoZGnEWhYj0L1KXcSOJHX0bnywi0G+USjVntXTwFBrX/IkBJwLBmhLsSbCMlrxw==" saltValue="R+MBGjMIthkKhtFn/xOm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XdmTiaJhkGX76rfgGhyV65Ac6vHhggJr8BGlB8lnIjogQch+DAX61uzAsUbxmt4Vuh1FFBrhozx710wpcdKbQ==" saltValue="mNMKT5T6aY8ruGYd1a/S5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L59N7N2c/oB3UXhM/nLZDVx3OYGgcJ5o5I6y345jwofNz7U7BFboWBclrLO+bRhHBlh04TOfk2KvDHnTYj/XYA==" saltValue="xLKkIf3tbusIfV//7nsF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qJK5xg7eUxRaFCDU3+i05DpbiDfRdJBLb+G9910JeYWp6NI1vBhsxZGZ7zgQcKuSUOY0cXX3wHL9Pg/DBYAzA==" saltValue="IUsgUNctl8mCtPJFcovAI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6.5780787918312059E-2</v>
      </c>
    </row>
    <row r="5" spans="1:8" ht="15.75" customHeight="1" x14ac:dyDescent="0.25">
      <c r="B5" s="16" t="s">
        <v>80</v>
      </c>
      <c r="C5" s="54">
        <v>1.324948228162641E-2</v>
      </c>
    </row>
    <row r="6" spans="1:8" ht="15.75" customHeight="1" x14ac:dyDescent="0.25">
      <c r="B6" s="16" t="s">
        <v>81</v>
      </c>
      <c r="C6" s="54">
        <v>7.7491190228652154E-2</v>
      </c>
    </row>
    <row r="7" spans="1:8" ht="15.75" customHeight="1" x14ac:dyDescent="0.25">
      <c r="B7" s="16" t="s">
        <v>82</v>
      </c>
      <c r="C7" s="54">
        <v>0.40754536158370702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0.30498340206693358</v>
      </c>
    </row>
    <row r="10" spans="1:8" ht="15.75" customHeight="1" x14ac:dyDescent="0.25">
      <c r="B10" s="16" t="s">
        <v>85</v>
      </c>
      <c r="C10" s="54">
        <v>0.13094977592076881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1.8973157017512472E-2</v>
      </c>
      <c r="D14" s="54">
        <v>1.8973157017512472E-2</v>
      </c>
      <c r="E14" s="54">
        <v>1.8973157017512472E-2</v>
      </c>
      <c r="F14" s="54">
        <v>1.8973157017512472E-2</v>
      </c>
    </row>
    <row r="15" spans="1:8" ht="15.75" customHeight="1" x14ac:dyDescent="0.25">
      <c r="B15" s="16" t="s">
        <v>88</v>
      </c>
      <c r="C15" s="54">
        <v>7.1740472660633589E-2</v>
      </c>
      <c r="D15" s="54">
        <v>7.1740472660633589E-2</v>
      </c>
      <c r="E15" s="54">
        <v>7.1740472660633589E-2</v>
      </c>
      <c r="F15" s="54">
        <v>7.1740472660633589E-2</v>
      </c>
    </row>
    <row r="16" spans="1:8" ht="15.75" customHeight="1" x14ac:dyDescent="0.25">
      <c r="B16" s="16" t="s">
        <v>89</v>
      </c>
      <c r="C16" s="54">
        <v>9.228266138645299E-3</v>
      </c>
      <c r="D16" s="54">
        <v>9.228266138645299E-3</v>
      </c>
      <c r="E16" s="54">
        <v>9.228266138645299E-3</v>
      </c>
      <c r="F16" s="54">
        <v>9.228266138645299E-3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9.5464713926239064E-2</v>
      </c>
      <c r="D21" s="54">
        <v>9.5464713926239064E-2</v>
      </c>
      <c r="E21" s="54">
        <v>9.5464713926239064E-2</v>
      </c>
      <c r="F21" s="54">
        <v>9.5464713926239064E-2</v>
      </c>
    </row>
    <row r="22" spans="1:8" ht="15.75" customHeight="1" x14ac:dyDescent="0.25">
      <c r="B22" s="16" t="s">
        <v>95</v>
      </c>
      <c r="C22" s="54">
        <v>0.80459339025696952</v>
      </c>
      <c r="D22" s="54">
        <v>0.80459339025696952</v>
      </c>
      <c r="E22" s="54">
        <v>0.80459339025696952</v>
      </c>
      <c r="F22" s="54">
        <v>0.80459339025696952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3.9699999999999999E-2</v>
      </c>
    </row>
    <row r="27" spans="1:8" ht="15.75" customHeight="1" x14ac:dyDescent="0.25">
      <c r="B27" s="16" t="s">
        <v>102</v>
      </c>
      <c r="C27" s="54">
        <v>2.3E-2</v>
      </c>
    </row>
    <row r="28" spans="1:8" ht="15.75" customHeight="1" x14ac:dyDescent="0.25">
      <c r="B28" s="16" t="s">
        <v>103</v>
      </c>
      <c r="C28" s="54">
        <v>0.18790000000000001</v>
      </c>
    </row>
    <row r="29" spans="1:8" ht="15.75" customHeight="1" x14ac:dyDescent="0.25">
      <c r="B29" s="16" t="s">
        <v>104</v>
      </c>
      <c r="C29" s="54">
        <v>0.14360000000000001</v>
      </c>
    </row>
    <row r="30" spans="1:8" ht="15.75" customHeight="1" x14ac:dyDescent="0.25">
      <c r="B30" s="16" t="s">
        <v>2</v>
      </c>
      <c r="C30" s="54">
        <v>5.21E-2</v>
      </c>
    </row>
    <row r="31" spans="1:8" ht="15.75" customHeight="1" x14ac:dyDescent="0.25">
      <c r="B31" s="16" t="s">
        <v>105</v>
      </c>
      <c r="C31" s="54">
        <v>2.41E-2</v>
      </c>
    </row>
    <row r="32" spans="1:8" ht="15.75" customHeight="1" x14ac:dyDescent="0.25">
      <c r="B32" s="16" t="s">
        <v>106</v>
      </c>
      <c r="C32" s="54">
        <v>8.5299999999999987E-2</v>
      </c>
    </row>
    <row r="33" spans="2:3" ht="15.75" customHeight="1" x14ac:dyDescent="0.25">
      <c r="B33" s="16" t="s">
        <v>107</v>
      </c>
      <c r="C33" s="54">
        <v>0.2238</v>
      </c>
    </row>
    <row r="34" spans="2:3" ht="15.75" customHeight="1" x14ac:dyDescent="0.25">
      <c r="B34" s="16" t="s">
        <v>108</v>
      </c>
      <c r="C34" s="54">
        <v>0.22050000000223521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GwRrykZ6UOW0D/ajwrdGfcOZlseEuSuF9pluPSG4v6Z6E6P7yHPAHAeLmWWaKg+V8dkmflTEFMyOzgM/O5A15A==" saltValue="Qd+g9ygMVpW2pueuRAFq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0.77208832000000005</v>
      </c>
      <c r="D2" s="55">
        <v>0.77208832000000005</v>
      </c>
      <c r="E2" s="55">
        <v>0.82412955999999993</v>
      </c>
      <c r="F2" s="55">
        <v>0.69729416</v>
      </c>
      <c r="G2" s="55">
        <v>0.67859009000000003</v>
      </c>
    </row>
    <row r="3" spans="1:15" ht="15.75" customHeight="1" x14ac:dyDescent="0.25">
      <c r="B3" s="7" t="s">
        <v>113</v>
      </c>
      <c r="C3" s="55">
        <v>9.7223034E-2</v>
      </c>
      <c r="D3" s="55">
        <v>9.7223034E-2</v>
      </c>
      <c r="E3" s="55">
        <v>0.12367088</v>
      </c>
      <c r="F3" s="55">
        <v>0.20455084000000001</v>
      </c>
      <c r="G3" s="55">
        <v>0.21540682</v>
      </c>
    </row>
    <row r="4" spans="1:15" ht="15.75" customHeight="1" x14ac:dyDescent="0.25">
      <c r="B4" s="7" t="s">
        <v>114</v>
      </c>
      <c r="C4" s="56">
        <v>6.1346827E-2</v>
      </c>
      <c r="D4" s="56">
        <v>6.1346827E-2</v>
      </c>
      <c r="E4" s="56">
        <v>4.1452804000000003E-2</v>
      </c>
      <c r="F4" s="56">
        <v>6.262425399999999E-2</v>
      </c>
      <c r="G4" s="56">
        <v>6.9781623000000001E-2</v>
      </c>
    </row>
    <row r="5" spans="1:15" ht="15.75" customHeight="1" x14ac:dyDescent="0.25">
      <c r="B5" s="7" t="s">
        <v>115</v>
      </c>
      <c r="C5" s="56">
        <v>6.9341841000000001E-2</v>
      </c>
      <c r="D5" s="56">
        <v>6.9341841000000001E-2</v>
      </c>
      <c r="E5" s="56">
        <v>1.0746739E-2</v>
      </c>
      <c r="F5" s="56">
        <v>3.5530758000000003E-2</v>
      </c>
      <c r="G5" s="56">
        <v>3.6221432999999997E-2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0.81256493000000007</v>
      </c>
      <c r="D8" s="55">
        <v>0.81256493000000007</v>
      </c>
      <c r="E8" s="55">
        <v>0.92137694999999997</v>
      </c>
      <c r="F8" s="55">
        <v>0.93880142000000011</v>
      </c>
      <c r="G8" s="55">
        <v>0.94882248000000002</v>
      </c>
    </row>
    <row r="9" spans="1:15" ht="15.75" customHeight="1" x14ac:dyDescent="0.25">
      <c r="B9" s="7" t="s">
        <v>118</v>
      </c>
      <c r="C9" s="55">
        <v>9.9024848999999998E-2</v>
      </c>
      <c r="D9" s="55">
        <v>9.9024848999999998E-2</v>
      </c>
      <c r="E9" s="55">
        <v>5.3702183000000001E-2</v>
      </c>
      <c r="F9" s="55">
        <v>4.2457504000000007E-2</v>
      </c>
      <c r="G9" s="55">
        <v>4.2752023E-2</v>
      </c>
    </row>
    <row r="10" spans="1:15" ht="15.75" customHeight="1" x14ac:dyDescent="0.25">
      <c r="B10" s="7" t="s">
        <v>119</v>
      </c>
      <c r="C10" s="56">
        <v>6.6749320000000001E-2</v>
      </c>
      <c r="D10" s="56">
        <v>6.6749320000000001E-2</v>
      </c>
      <c r="E10" s="56">
        <v>2.4920843000000002E-2</v>
      </c>
      <c r="F10" s="56">
        <v>9.4394290000000009E-3</v>
      </c>
      <c r="G10" s="56">
        <v>6.8840754000000001E-3</v>
      </c>
    </row>
    <row r="11" spans="1:15" ht="15.75" customHeight="1" x14ac:dyDescent="0.25">
      <c r="B11" s="7" t="s">
        <v>120</v>
      </c>
      <c r="C11" s="56">
        <v>2.1660902999999999E-2</v>
      </c>
      <c r="D11" s="56">
        <v>2.1660902999999999E-2</v>
      </c>
      <c r="E11" s="56">
        <v>0</v>
      </c>
      <c r="F11" s="56">
        <v>9.3016773000000001E-3</v>
      </c>
      <c r="G11" s="56">
        <v>1.5413788E-3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0.22474285975</v>
      </c>
      <c r="D14" s="57">
        <v>0.234737514727</v>
      </c>
      <c r="E14" s="57">
        <v>0.234737514727</v>
      </c>
      <c r="F14" s="57">
        <v>0.223199456702</v>
      </c>
      <c r="G14" s="57">
        <v>0.223199456702</v>
      </c>
      <c r="H14" s="58">
        <v>0.34399999999999997</v>
      </c>
      <c r="I14" s="58">
        <v>0.34399999999999997</v>
      </c>
      <c r="J14" s="58">
        <v>0.34399999999999997</v>
      </c>
      <c r="K14" s="58">
        <v>0.34399999999999997</v>
      </c>
      <c r="L14" s="58">
        <v>0.136617116244</v>
      </c>
      <c r="M14" s="58">
        <v>0.121506515112</v>
      </c>
      <c r="N14" s="58">
        <v>0.1062746488175</v>
      </c>
      <c r="O14" s="58">
        <v>0.15351555321900001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0.11852709436143843</v>
      </c>
      <c r="D15" s="55">
        <f t="shared" si="0"/>
        <v>0.12379817356229343</v>
      </c>
      <c r="E15" s="55">
        <f t="shared" si="0"/>
        <v>0.12379817356229343</v>
      </c>
      <c r="F15" s="55">
        <f t="shared" si="0"/>
        <v>0.11771311931942142</v>
      </c>
      <c r="G15" s="55">
        <f t="shared" si="0"/>
        <v>0.11771311931942142</v>
      </c>
      <c r="H15" s="55">
        <f t="shared" si="0"/>
        <v>0.1814220950364801</v>
      </c>
      <c r="I15" s="55">
        <f t="shared" si="0"/>
        <v>0.1814220950364801</v>
      </c>
      <c r="J15" s="55">
        <f t="shared" si="0"/>
        <v>0.1814220950364801</v>
      </c>
      <c r="K15" s="55">
        <f t="shared" si="0"/>
        <v>0.1814220950364801</v>
      </c>
      <c r="L15" s="55">
        <f t="shared" si="0"/>
        <v>7.205047513613029E-2</v>
      </c>
      <c r="M15" s="55">
        <f t="shared" si="0"/>
        <v>6.4081298058723174E-2</v>
      </c>
      <c r="N15" s="55">
        <f t="shared" si="0"/>
        <v>5.6048166970165791E-2</v>
      </c>
      <c r="O15" s="55">
        <f t="shared" si="0"/>
        <v>8.0962538621148952E-2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eN8wcq5ytvq2l/yvWev24bnazUGQlxkWtapXWL8T0VMUOH6/odl6/moiDt/TGCBNVdjaqphVBCF6c6QjVtoKZw==" saltValue="41HH+RJ8QwNMvTCuSgKc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0.59449800000000008</v>
      </c>
      <c r="D2" s="56">
        <v>0.29309990000000002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9.7630759999999997E-2</v>
      </c>
      <c r="D3" s="56">
        <v>0.23736940000000001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0.25931979999999999</v>
      </c>
      <c r="D4" s="56">
        <v>0.4031151</v>
      </c>
      <c r="E4" s="56">
        <v>0.74230986833572399</v>
      </c>
      <c r="F4" s="56">
        <v>0.37930190563201899</v>
      </c>
      <c r="G4" s="56">
        <v>0</v>
      </c>
    </row>
    <row r="5" spans="1:7" x14ac:dyDescent="0.25">
      <c r="B5" s="98" t="s">
        <v>132</v>
      </c>
      <c r="C5" s="55">
        <v>4.8551440000000001E-2</v>
      </c>
      <c r="D5" s="55">
        <v>6.6415600000000005E-2</v>
      </c>
      <c r="E5" s="55">
        <v>0.25769013166427601</v>
      </c>
      <c r="F5" s="55">
        <v>0.62069809436798107</v>
      </c>
      <c r="G5" s="55">
        <v>1</v>
      </c>
    </row>
  </sheetData>
  <sheetProtection algorithmName="SHA-512" hashValue="b0M14JY8bP/kQNY6KyySGEo8LYSTfTKJw9JAzpYYRnIzGMwgglnKHP/rD63ilW5f6coLlnD/QkORZ/PpaGHshQ==" saltValue="dIhBVqW/O0jLNNekT8Awj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4CN/wfp7cJzK3V3f+2XEX5D4q7XHiM09sZnKOe2Tcb5CfA5/YEPJGFI7KlNsCh3uvPU0sEIBcSCy+pB0cYcMg==" saltValue="XdbmPicOn2FCVGXgIz9Y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bJEwIIR5s1EcnRsumajdIVXPOX9TTaCyvBG9kWcpqD+Eav0ySs24BBGJi4/tpG29du7C2Bfu4PB5wlATNgOXag==" saltValue="WfudXTzWCxSELt+40UPLL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YIb1e8XTn+cVOYqbJG9jUGTeeeBnwIgrzBTPICtcNM7tsX7GPf/AcM7expIma4xM7nnpD5VJ6xy6BOkNzWv/KQ==" saltValue="WMVQV6Hw2acQvF4idSRv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kuzKVq72vmWqQkVtDDUrxnLGpp71mD0PfCEe+ZGXhB24wUmHIAkdu1LtF/1F1ab2n27xp1P2uaQCsKgnerwYyg==" saltValue="9Cc5nPaH4cUKRDRLm9Nj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2022-02-01T05:02:35Z</dcterms:modified>
</cp:coreProperties>
</file>