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7CFEFD8-AC38-4262-9749-26AA4B811C21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H2" i="2"/>
  <c r="I2" i="2" s="1"/>
  <c r="G2" i="2"/>
  <c r="A2" i="2"/>
  <c r="A40" i="2" s="1"/>
  <c r="C33" i="1"/>
  <c r="C20" i="1"/>
  <c r="A23" i="2" l="1"/>
  <c r="A31" i="2"/>
  <c r="A15" i="2"/>
  <c r="I38" i="2"/>
  <c r="A16" i="2"/>
  <c r="A32" i="2"/>
  <c r="A24" i="2"/>
  <c r="A17" i="2"/>
  <c r="A25" i="2"/>
  <c r="A33" i="2"/>
  <c r="A18" i="2"/>
  <c r="A26" i="2"/>
  <c r="A34" i="2"/>
  <c r="A39" i="2"/>
  <c r="A19" i="2"/>
  <c r="A27" i="2"/>
  <c r="A35" i="2"/>
  <c r="A28" i="2"/>
  <c r="A3" i="2"/>
  <c r="A12" i="2"/>
  <c r="A20" i="2"/>
  <c r="A36" i="2"/>
  <c r="A13" i="2"/>
  <c r="A4" i="2"/>
  <c r="A5" i="2" s="1"/>
  <c r="A6" i="2" s="1"/>
  <c r="A7" i="2" s="1"/>
  <c r="A8" i="2" s="1"/>
  <c r="A9" i="2" s="1"/>
  <c r="A10" i="2" s="1"/>
  <c r="A11" i="2" s="1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<sst xmlns="http://schemas.openxmlformats.org/spreadsheetml/2006/main" count="2092" uniqueCount="337">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</sst>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4152779.5</v>
      </c>
    </row>
    <row r="8" spans="1:3" ht="15" customHeight="1" x14ac:dyDescent="0.25">
      <c r="B8" s="7" t="s">
        <v>19</v>
      </c>
      <c r="C8" s="46">
        <v>0.48599999999999999</v>
      </c>
    </row>
    <row r="9" spans="1:3" ht="15" customHeight="1" x14ac:dyDescent="0.25">
      <c r="B9" s="7" t="s">
        <v>20</v>
      </c>
      <c r="C9" s="47">
        <v>0.47</v>
      </c>
    </row>
    <row r="10" spans="1:3" ht="15" customHeight="1" x14ac:dyDescent="0.25">
      <c r="B10" s="7" t="s">
        <v>21</v>
      </c>
      <c r="C10" s="47">
        <v>0.39787429809570302</v>
      </c>
    </row>
    <row r="11" spans="1:3" ht="15" customHeight="1" x14ac:dyDescent="0.25">
      <c r="B11" s="7" t="s">
        <v>22</v>
      </c>
      <c r="C11" s="46">
        <v>0.251</v>
      </c>
    </row>
    <row r="12" spans="1:3" ht="15" customHeight="1" x14ac:dyDescent="0.25">
      <c r="B12" s="7" t="s">
        <v>23</v>
      </c>
      <c r="C12" s="46">
        <v>0.34</v>
      </c>
    </row>
    <row r="13" spans="1:3" ht="15" customHeight="1" x14ac:dyDescent="0.25">
      <c r="B13" s="7" t="s">
        <v>24</v>
      </c>
      <c r="C13" s="46">
        <v>0.53100000000000003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8.5299999999999987E-2</v>
      </c>
    </row>
    <row r="24" spans="1:3" ht="15" customHeight="1" x14ac:dyDescent="0.25">
      <c r="B24" s="12" t="s">
        <v>33</v>
      </c>
      <c r="C24" s="47">
        <v>0.48899999999999999</v>
      </c>
    </row>
    <row r="25" spans="1:3" ht="15" customHeight="1" x14ac:dyDescent="0.25">
      <c r="B25" s="12" t="s">
        <v>34</v>
      </c>
      <c r="C25" s="47">
        <v>0.35580000000000001</v>
      </c>
    </row>
    <row r="26" spans="1:3" ht="15" customHeight="1" x14ac:dyDescent="0.25">
      <c r="B26" s="12" t="s">
        <v>35</v>
      </c>
      <c r="C26" s="47">
        <v>0.1099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0.218</v>
      </c>
    </row>
    <row r="30" spans="1:3" ht="14.25" customHeight="1" x14ac:dyDescent="0.25">
      <c r="B30" s="22" t="s">
        <v>38</v>
      </c>
      <c r="C30" s="49">
        <v>7.4999999999999997E-2</v>
      </c>
    </row>
    <row r="31" spans="1:3" ht="14.25" customHeight="1" x14ac:dyDescent="0.25">
      <c r="B31" s="22" t="s">
        <v>39</v>
      </c>
      <c r="C31" s="49">
        <v>0.11899999999999999</v>
      </c>
    </row>
    <row r="32" spans="1:3" ht="14.25" customHeight="1" x14ac:dyDescent="0.25">
      <c r="B32" s="22" t="s">
        <v>40</v>
      </c>
      <c r="C32" s="49">
        <v>0.58800000001490116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26.654184062716901</v>
      </c>
    </row>
    <row r="38" spans="1:5" ht="15" customHeight="1" x14ac:dyDescent="0.25">
      <c r="B38" s="28" t="s">
        <v>45</v>
      </c>
      <c r="C38" s="117">
        <v>43.623031486157103</v>
      </c>
      <c r="D38" s="9"/>
      <c r="E38" s="10"/>
    </row>
    <row r="39" spans="1:5" ht="15" customHeight="1" x14ac:dyDescent="0.25">
      <c r="B39" s="28" t="s">
        <v>46</v>
      </c>
      <c r="C39" s="117">
        <v>58.356138238951203</v>
      </c>
      <c r="D39" s="9"/>
      <c r="E39" s="9"/>
    </row>
    <row r="40" spans="1:5" ht="15" customHeight="1" x14ac:dyDescent="0.25">
      <c r="B40" s="28" t="s">
        <v>47</v>
      </c>
      <c r="C40" s="117">
        <v>164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23.729724780000002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2.9392000000000001E-2</v>
      </c>
      <c r="D45" s="9"/>
    </row>
    <row r="46" spans="1:5" ht="15.75" customHeight="1" x14ac:dyDescent="0.25">
      <c r="B46" s="28" t="s">
        <v>52</v>
      </c>
      <c r="C46" s="47">
        <v>0.10240050000000001</v>
      </c>
      <c r="D46" s="9"/>
    </row>
    <row r="47" spans="1:5" ht="15.75" customHeight="1" x14ac:dyDescent="0.25">
      <c r="B47" s="28" t="s">
        <v>53</v>
      </c>
      <c r="C47" s="47">
        <v>0.39395839999999999</v>
      </c>
      <c r="D47" s="9"/>
      <c r="E47" s="10"/>
    </row>
    <row r="48" spans="1:5" ht="15" customHeight="1" x14ac:dyDescent="0.25">
      <c r="B48" s="28" t="s">
        <v>54</v>
      </c>
      <c r="C48" s="48">
        <v>0.47424909999999998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2.9</v>
      </c>
      <c r="D51" s="9"/>
    </row>
    <row r="52" spans="1:4" ht="15" customHeight="1" x14ac:dyDescent="0.25">
      <c r="B52" s="28" t="s">
        <v>57</v>
      </c>
      <c r="C52" s="51">
        <v>2.9</v>
      </c>
    </row>
    <row r="53" spans="1:4" ht="15.75" customHeight="1" x14ac:dyDescent="0.25">
      <c r="B53" s="28" t="s">
        <v>58</v>
      </c>
      <c r="C53" s="51">
        <v>2.9</v>
      </c>
    </row>
    <row r="54" spans="1:4" ht="15.75" customHeight="1" x14ac:dyDescent="0.25">
      <c r="B54" s="28" t="s">
        <v>59</v>
      </c>
      <c r="C54" s="51">
        <v>2.9</v>
      </c>
    </row>
    <row r="55" spans="1:4" ht="15.75" customHeight="1" x14ac:dyDescent="0.25">
      <c r="B55" s="28" t="s">
        <v>60</v>
      </c>
      <c r="C55" s="51">
        <v>2.9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0.44108751416169212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KLTvlNoymxRzqeY3ZOnejEwtqUOjmZk9o1+CbNgbfcR0+4C/IdW8U91XKkm9JE7ovFYZcN842NtgZY5Fn9H3sA==" saltValue="9v5uInaz+hJPLiCW73Dg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5.9075243365991098E-2</v>
      </c>
      <c r="C2" s="115">
        <v>0.95</v>
      </c>
      <c r="D2" s="116">
        <v>37.913661484151682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42.521345352857793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99.033477395463237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0.3705821075861872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13.539057252878379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13.539057252878379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13.539057252878379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13.539057252878379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13.539057252878379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13.539057252878379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0.27829999072845568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0.95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0.21297360000000001</v>
      </c>
      <c r="C18" s="115">
        <v>0.95</v>
      </c>
      <c r="D18" s="116">
        <v>2.377996240315416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0.21297360000000001</v>
      </c>
      <c r="C19" s="115">
        <v>0.95</v>
      </c>
      <c r="D19" s="116">
        <v>2.377996240315416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0.30129679999999998</v>
      </c>
      <c r="C21" s="115">
        <v>0.95</v>
      </c>
      <c r="D21" s="116">
        <v>3.202185552868094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23.103382705538191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4.4606327668435339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0.22546645150568001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5.5304326117038699E-2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19.540666812356982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3.9110765792429499E-3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0.26600000000000001</v>
      </c>
      <c r="C29" s="115">
        <v>0.95</v>
      </c>
      <c r="D29" s="116">
        <v>67.736851795235324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4.3271061521497272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0.54641342226979839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0.18614801410000001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0.48301955497836302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0.49542354428425711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8.7522201431810966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0.59053003115999092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xITtvNcZODZWl0Dl9tLyRTVni4m7B0u0vPHcGIKVd32JHyaAp2RvRcLOvYV9psivvE8lJLk7GD+cxuoVEf2YsA==" saltValue="6qgQsYg4V1wIgew+Pwt2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eGAZQ69wInvTSwWBi+xp8Ix8OwdmCKWlQ5rVLP8Kncx8bVwTVl0UXZSBeS92jy5eU5+Npx5wAmghjapnCLO75w==" saltValue="897+orV8HYAzQw7W4LRt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f+1Z+P77ABYAUHOnWAWGhkZzP1AGopMbdi8+am5r5KkhcuYwJSGBjUgbLTXIxAkCGgvJPa7+z0VA3hT9IEm+jQ==" saltValue="PvPMXP69VMc/Ey2JOrHh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5">
      <c r="A3" s="4" t="s">
        <v>209</v>
      </c>
      <c r="B3" s="18">
        <f>frac_mam_1month * 2.6</f>
        <v>0.28287672996521118</v>
      </c>
      <c r="C3" s="18">
        <f>frac_mam_1_5months * 2.6</f>
        <v>0.28287672996521118</v>
      </c>
      <c r="D3" s="18">
        <f>frac_mam_6_11months * 2.6</f>
        <v>0.389580428600311</v>
      </c>
      <c r="E3" s="18">
        <f>frac_mam_12_23months * 2.6</f>
        <v>0.35258413851261117</v>
      </c>
      <c r="F3" s="18">
        <f>frac_mam_24_59months * 2.6</f>
        <v>0.24604986310005192</v>
      </c>
    </row>
    <row r="4" spans="1:6" ht="15.75" customHeight="1" x14ac:dyDescent="0.25">
      <c r="A4" s="4" t="s">
        <v>208</v>
      </c>
      <c r="B4" s="18">
        <f>frac_sam_1month * 2.6</f>
        <v>0.23901847004890453</v>
      </c>
      <c r="C4" s="18">
        <f>frac_sam_1_5months * 2.6</f>
        <v>0.23901847004890453</v>
      </c>
      <c r="D4" s="18">
        <f>frac_sam_6_11months * 2.6</f>
        <v>0.26479003578424543</v>
      </c>
      <c r="E4" s="18">
        <f>frac_sam_12_23months * 2.6</f>
        <v>0.16372712701559056</v>
      </c>
      <c r="F4" s="18">
        <f>frac_sam_24_59months * 2.6</f>
        <v>9.3341473489999813E-2</v>
      </c>
    </row>
  </sheetData>
  <sheetProtection algorithmName="SHA-512" hashValue="RISJm5+yas6vVhtBl7wEmCmw2v0C4zZSo6z6iOrTV6OpdDo/JyaKFHwCqVgFyGdl5lARu9IK8foxv8i2D86uKw==" saltValue="pbZMrr8Bul3Dk6KA52vI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0.48599999999999999</v>
      </c>
      <c r="E2" s="65">
        <f>food_insecure</f>
        <v>0.48599999999999999</v>
      </c>
      <c r="F2" s="65">
        <f>food_insecure</f>
        <v>0.48599999999999999</v>
      </c>
      <c r="G2" s="65">
        <f>food_insecure</f>
        <v>0.48599999999999999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0.48599999999999999</v>
      </c>
      <c r="F5" s="65">
        <f>food_insecure</f>
        <v>0.48599999999999999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0.48599999999999999</v>
      </c>
      <c r="F8" s="65">
        <f>food_insecure</f>
        <v>0.48599999999999999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0.48599999999999999</v>
      </c>
      <c r="F9" s="65">
        <f>food_insecure</f>
        <v>0.48599999999999999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0.34</v>
      </c>
      <c r="E10" s="65">
        <f>IF(ISBLANK(comm_deliv), frac_children_health_facility,1)</f>
        <v>0.34</v>
      </c>
      <c r="F10" s="65">
        <f>IF(ISBLANK(comm_deliv), frac_children_health_facility,1)</f>
        <v>0.34</v>
      </c>
      <c r="G10" s="65">
        <f>IF(ISBLANK(comm_deliv), frac_children_health_facility,1)</f>
        <v>0.34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0.48599999999999999</v>
      </c>
      <c r="I15" s="65">
        <f>food_insecure</f>
        <v>0.48599999999999999</v>
      </c>
      <c r="J15" s="65">
        <f>food_insecure</f>
        <v>0.48599999999999999</v>
      </c>
      <c r="K15" s="65">
        <f>food_insecure</f>
        <v>0.48599999999999999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0.251</v>
      </c>
      <c r="I18" s="65">
        <f>frac_PW_health_facility</f>
        <v>0.251</v>
      </c>
      <c r="J18" s="65">
        <f>frac_PW_health_facility</f>
        <v>0.251</v>
      </c>
      <c r="K18" s="65">
        <f>frac_PW_health_facility</f>
        <v>0.251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0.47</v>
      </c>
      <c r="I19" s="65">
        <f>frac_malaria_risk</f>
        <v>0.47</v>
      </c>
      <c r="J19" s="65">
        <f>frac_malaria_risk</f>
        <v>0.47</v>
      </c>
      <c r="K19" s="65">
        <f>frac_malaria_risk</f>
        <v>0.47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0.53100000000000003</v>
      </c>
      <c r="M24" s="65">
        <f>famplan_unmet_need</f>
        <v>0.53100000000000003</v>
      </c>
      <c r="N24" s="65">
        <f>famplan_unmet_need</f>
        <v>0.53100000000000003</v>
      </c>
      <c r="O24" s="65">
        <f>famplan_unmet_need</f>
        <v>0.53100000000000003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0.35649454306945805</v>
      </c>
      <c r="M25" s="65">
        <f>(1-food_insecure)*(0.49)+food_insecure*(0.7)</f>
        <v>0.59206000000000003</v>
      </c>
      <c r="N25" s="65">
        <f>(1-food_insecure)*(0.49)+food_insecure*(0.7)</f>
        <v>0.59206000000000003</v>
      </c>
      <c r="O25" s="65">
        <f>(1-food_insecure)*(0.49)+food_insecure*(0.7)</f>
        <v>0.59206000000000003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0.15278337560119629</v>
      </c>
      <c r="M26" s="65">
        <f>(1-food_insecure)*(0.21)+food_insecure*(0.3)</f>
        <v>0.25373999999999997</v>
      </c>
      <c r="N26" s="65">
        <f>(1-food_insecure)*(0.21)+food_insecure*(0.3)</f>
        <v>0.25373999999999997</v>
      </c>
      <c r="O26" s="65">
        <f>(1-food_insecure)*(0.21)+food_insecure*(0.3)</f>
        <v>0.25373999999999997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9.2847783233642595E-2</v>
      </c>
      <c r="M27" s="65">
        <f>(1-food_insecure)*(0.3)</f>
        <v>0.1542</v>
      </c>
      <c r="N27" s="65">
        <f>(1-food_insecure)*(0.3)</f>
        <v>0.1542</v>
      </c>
      <c r="O27" s="65">
        <f>(1-food_insecure)*(0.3)</f>
        <v>0.1542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0.39787429809570302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0.47</v>
      </c>
      <c r="D34" s="65">
        <f t="shared" si="3"/>
        <v>0.47</v>
      </c>
      <c r="E34" s="65">
        <f t="shared" si="3"/>
        <v>0.47</v>
      </c>
      <c r="F34" s="65">
        <f t="shared" si="3"/>
        <v>0.47</v>
      </c>
      <c r="G34" s="65">
        <f t="shared" si="3"/>
        <v>0.47</v>
      </c>
      <c r="H34" s="65">
        <f t="shared" si="3"/>
        <v>0.47</v>
      </c>
      <c r="I34" s="65">
        <f t="shared" si="3"/>
        <v>0.47</v>
      </c>
      <c r="J34" s="65">
        <f t="shared" si="3"/>
        <v>0.47</v>
      </c>
      <c r="K34" s="65">
        <f t="shared" si="3"/>
        <v>0.47</v>
      </c>
      <c r="L34" s="65">
        <f t="shared" si="3"/>
        <v>0.47</v>
      </c>
      <c r="M34" s="65">
        <f t="shared" si="3"/>
        <v>0.47</v>
      </c>
      <c r="N34" s="65">
        <f t="shared" si="3"/>
        <v>0.47</v>
      </c>
      <c r="O34" s="65">
        <f t="shared" si="3"/>
        <v>0.47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BIJw4TNvAWuTJVm12mR9sS5k10omTpeOGZ/CkyUIwJOfZe4sR5cqeHJIUf3ZQ3l6caEnOVgG7P+DG+aZnn2fMw==" saltValue="jI/o/ah67I1VT7WCWIRW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R4IHDAlNT54wzbJD94xlRDuPmrOoijF9x00n5jq7a2CruITJ/7yK/FKBcJf/VE9AmowcAsa8PvuDb/AlvHDIpg==" saltValue="2SLPJvfMAK2W8WmrWTQs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lcoWjwXiMjdVj+zgelpMv+30F5abEhBj5j8jhtN6U4hv47Wlz+1pVaKu2hson+RhHRi/yVvm+Xy8UH/j2OHmrw==" saltValue="coFj/BQTwXuaKI65V0mI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FzwU8bfrszFzP9bpQ8bICTzAfaaf9xQ/5Qs1577mrFzhYuXpBfpFhuH5i8EIpfyogHDK49tAvDy8lBxB7l13hQ==" saltValue="nztv25Vf4xn4Iy0aqmXxA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8ha58+Jcba6tComvst5484NlIzvwUYOKgLOpE2irVn1Zd5ZnqFQ1heVvoLp4J8O7TnPhgT0bmxV5I+AH44B31g==" saltValue="dmFq22V54WynaxwFeDY4z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W6Bm/rVVyjRoxzCEK8ONoPXB7dJ6RIkiweuKzJ5QBJi5WnCqKa13v+GqXtZYKryMZWJHi95e73p0BTCHny9BpQ==" saltValue="5P8Ofy+dw8XQ47fRwUal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885346.67979999993</v>
      </c>
      <c r="C2" s="53">
        <v>1616000</v>
      </c>
      <c r="D2" s="53">
        <v>2887000</v>
      </c>
      <c r="E2" s="53">
        <v>2187000</v>
      </c>
      <c r="F2" s="53">
        <v>1246000</v>
      </c>
      <c r="G2" s="14">
        <f t="shared" ref="G2:G11" si="0">C2+D2+E2+F2</f>
        <v>7936000</v>
      </c>
      <c r="H2" s="14">
        <f t="shared" ref="H2:H11" si="1">(B2 + stillbirth*B2/(1000-stillbirth))/(1-abortion)</f>
        <v>950593.67835662479</v>
      </c>
      <c r="I2" s="14">
        <f t="shared" ref="I2:I11" si="2">G2-H2</f>
        <v>6985406.3216433749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886641.44960000005</v>
      </c>
      <c r="C3" s="53">
        <v>1645000</v>
      </c>
      <c r="D3" s="53">
        <v>2912000</v>
      </c>
      <c r="E3" s="53">
        <v>2280000</v>
      </c>
      <c r="F3" s="53">
        <v>1326000</v>
      </c>
      <c r="G3" s="14">
        <f t="shared" si="0"/>
        <v>8163000</v>
      </c>
      <c r="H3" s="14">
        <f t="shared" si="1"/>
        <v>951983.86822787963</v>
      </c>
      <c r="I3" s="14">
        <f t="shared" si="2"/>
        <v>7211016.1317721205</v>
      </c>
    </row>
    <row r="4" spans="1:9" ht="15.75" customHeight="1" x14ac:dyDescent="0.25">
      <c r="A4" s="7">
        <f t="shared" si="3"/>
        <v>2023</v>
      </c>
      <c r="B4" s="52">
        <v>887133.4585999999</v>
      </c>
      <c r="C4" s="53">
        <v>1676000</v>
      </c>
      <c r="D4" s="53">
        <v>2936000</v>
      </c>
      <c r="E4" s="53">
        <v>2370000</v>
      </c>
      <c r="F4" s="53">
        <v>1409000</v>
      </c>
      <c r="G4" s="14">
        <f t="shared" si="0"/>
        <v>8391000</v>
      </c>
      <c r="H4" s="14">
        <f t="shared" si="1"/>
        <v>952512.13659524976</v>
      </c>
      <c r="I4" s="14">
        <f t="shared" si="2"/>
        <v>7438487.8634047499</v>
      </c>
    </row>
    <row r="5" spans="1:9" ht="15.75" customHeight="1" x14ac:dyDescent="0.25">
      <c r="A5" s="7">
        <f t="shared" si="3"/>
        <v>2024</v>
      </c>
      <c r="B5" s="52">
        <v>886853.03519999993</v>
      </c>
      <c r="C5" s="53">
        <v>1709000</v>
      </c>
      <c r="D5" s="53">
        <v>2962000</v>
      </c>
      <c r="E5" s="53">
        <v>2453000</v>
      </c>
      <c r="F5" s="53">
        <v>1496000</v>
      </c>
      <c r="G5" s="14">
        <f t="shared" si="0"/>
        <v>8620000</v>
      </c>
      <c r="H5" s="14">
        <f t="shared" si="1"/>
        <v>952211.0469572749</v>
      </c>
      <c r="I5" s="14">
        <f t="shared" si="2"/>
        <v>7667788.9530427251</v>
      </c>
    </row>
    <row r="6" spans="1:9" ht="15.75" customHeight="1" x14ac:dyDescent="0.25">
      <c r="A6" s="7">
        <f t="shared" si="3"/>
        <v>2025</v>
      </c>
      <c r="B6" s="52">
        <v>885775.473</v>
      </c>
      <c r="C6" s="53">
        <v>1744000</v>
      </c>
      <c r="D6" s="53">
        <v>2997000</v>
      </c>
      <c r="E6" s="53">
        <v>2526000</v>
      </c>
      <c r="F6" s="53">
        <v>1583000</v>
      </c>
      <c r="G6" s="14">
        <f t="shared" si="0"/>
        <v>8850000</v>
      </c>
      <c r="H6" s="14">
        <f t="shared" si="1"/>
        <v>951054.07213743671</v>
      </c>
      <c r="I6" s="14">
        <f t="shared" si="2"/>
        <v>7898945.9278625632</v>
      </c>
    </row>
    <row r="7" spans="1:9" ht="15.75" customHeight="1" x14ac:dyDescent="0.25">
      <c r="A7" s="7">
        <f t="shared" si="3"/>
        <v>2026</v>
      </c>
      <c r="B7" s="52">
        <v>886691.03399999999</v>
      </c>
      <c r="C7" s="53">
        <v>1779000</v>
      </c>
      <c r="D7" s="53">
        <v>3039000</v>
      </c>
      <c r="E7" s="53">
        <v>2589000</v>
      </c>
      <c r="F7" s="53">
        <v>1668000</v>
      </c>
      <c r="G7" s="14">
        <f t="shared" si="0"/>
        <v>9075000</v>
      </c>
      <c r="H7" s="14">
        <f t="shared" si="1"/>
        <v>952037.10682724474</v>
      </c>
      <c r="I7" s="14">
        <f t="shared" si="2"/>
        <v>8122962.8931727549</v>
      </c>
    </row>
    <row r="8" spans="1:9" ht="15.75" customHeight="1" x14ac:dyDescent="0.25">
      <c r="A8" s="7">
        <f t="shared" si="3"/>
        <v>2027</v>
      </c>
      <c r="B8" s="52">
        <v>886925.00899999996</v>
      </c>
      <c r="C8" s="53">
        <v>1815000</v>
      </c>
      <c r="D8" s="53">
        <v>3088000</v>
      </c>
      <c r="E8" s="53">
        <v>2644000</v>
      </c>
      <c r="F8" s="53">
        <v>1754000</v>
      </c>
      <c r="G8" s="14">
        <f t="shared" si="0"/>
        <v>9301000</v>
      </c>
      <c r="H8" s="14">
        <f t="shared" si="1"/>
        <v>952288.32497824496</v>
      </c>
      <c r="I8" s="14">
        <f t="shared" si="2"/>
        <v>8348711.6750217546</v>
      </c>
    </row>
    <row r="9" spans="1:9" ht="15.75" customHeight="1" x14ac:dyDescent="0.25">
      <c r="A9" s="7">
        <f t="shared" si="3"/>
        <v>2028</v>
      </c>
      <c r="B9" s="52">
        <v>886430.37199999997</v>
      </c>
      <c r="C9" s="53">
        <v>1850000</v>
      </c>
      <c r="D9" s="53">
        <v>3143000</v>
      </c>
      <c r="E9" s="53">
        <v>2691000</v>
      </c>
      <c r="F9" s="53">
        <v>1838000</v>
      </c>
      <c r="G9" s="14">
        <f t="shared" si="0"/>
        <v>9522000</v>
      </c>
      <c r="H9" s="14">
        <f t="shared" si="1"/>
        <v>951757.23493633338</v>
      </c>
      <c r="I9" s="14">
        <f t="shared" si="2"/>
        <v>8570242.7650636658</v>
      </c>
    </row>
    <row r="10" spans="1:9" ht="15.75" customHeight="1" x14ac:dyDescent="0.25">
      <c r="A10" s="7">
        <f t="shared" si="3"/>
        <v>2029</v>
      </c>
      <c r="B10" s="52">
        <v>885237.35600000003</v>
      </c>
      <c r="C10" s="53">
        <v>1883000</v>
      </c>
      <c r="D10" s="53">
        <v>3203000</v>
      </c>
      <c r="E10" s="53">
        <v>2731000</v>
      </c>
      <c r="F10" s="53">
        <v>1926000</v>
      </c>
      <c r="G10" s="14">
        <f t="shared" si="0"/>
        <v>9743000</v>
      </c>
      <c r="H10" s="14">
        <f t="shared" si="1"/>
        <v>950476.29776939843</v>
      </c>
      <c r="I10" s="14">
        <f t="shared" si="2"/>
        <v>8792523.7022306025</v>
      </c>
    </row>
    <row r="11" spans="1:9" ht="15.75" customHeight="1" x14ac:dyDescent="0.25">
      <c r="A11" s="7">
        <f t="shared" si="3"/>
        <v>2030</v>
      </c>
      <c r="B11" s="52">
        <v>883302.29500000004</v>
      </c>
      <c r="C11" s="53">
        <v>1911000</v>
      </c>
      <c r="D11" s="53">
        <v>3264000</v>
      </c>
      <c r="E11" s="53">
        <v>2767000</v>
      </c>
      <c r="F11" s="53">
        <v>2014000</v>
      </c>
      <c r="G11" s="14">
        <f t="shared" si="0"/>
        <v>9956000</v>
      </c>
      <c r="H11" s="14">
        <f t="shared" si="1"/>
        <v>948398.62944375456</v>
      </c>
      <c r="I11" s="14">
        <f t="shared" si="2"/>
        <v>9007601.3705562446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eSc3bEAKDpVEID1hKbKnEWmBFqIXVVudwyWZpS/lWPLitkBfTyMpN/l5mUkl4mJ7QcRwMR8i6/bngHc4/sXlIA==" saltValue="9bDba0ArQZv5pyEe10Ds+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XZ20MRUCJ1miMWY6gtWnUJN4liZQDoWzcP6gwohD00tVesyksCfd2XNbiVpSXfbJpdqHbaZDYCuhZN7PJLcZbg==" saltValue="MbbDqTh88VsrdKGX6mHyO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u18Gu+c5gAocRO51oOVnWXawJndbVZDWe7sZPEYpPw+2QSZY5gx+IZRjEd3z7IWQEWY1+fR9SsIL4TvlpJg7vA==" saltValue="4hkECH3GAHPpE4pVbpgA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Ohr/KVAuJ9VR2MPQeAZrnyhfThFRIgni4XWj9jo1a11FvLuWoi1AaDBPZlIeWoGwdo9VlgfNqk1imOpDkb6GvQ==" saltValue="BIb+4uMAvQnKKWE9+zpT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n9/HAmJSK1ItH12mEV5R/MyX33o7MjWkC1X+rnuIUi+UrokuLe0TUoScZm2VMmEgoFMkJC0JOsMo0vtKO/6IiA==" saltValue="JNRcK0k+fQB4WFFd9Fh4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wFSBlIH9sGuSU2GoIRzoB27maYWV9p4tO1/p1FL7+lv8McJtmKIGY1aX3R2ld0IEYOHs6KNFfE23Mr1/A9KJYw==" saltValue="mqX1uXsfnKtN8zqvdzbO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kpIy7wJVIIpkrUKLzxxoYk77Dwg59WvRV9mzQlLW5QaycC5L1R5FVaYycK5UzOZOaGAaCGP+mwfbfQX9bNvbTw==" saltValue="WgBthFMqhGVdX3NmTTuY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qEyoR4RW6TcgvNmQlmlh1cSwo4uyjH8hHz1Eq0njYlnTFAnHCDF5Q3gsSlAzhlODHWKWuQtFACUoTn2gTcyxcA==" saltValue="FVyJic/HDSErIqb9Dbc3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NpEZSx+kaieQjq7hPG5rTSSsTf4yYwxuc604cdT09yYyN3lU04Ae7tY+aSJ9i1sg55aR7JnvC0cnHTddaISOg==" saltValue="lVcpZ2AqW1u2mPriWo5c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vLWMZeIZWrd2tKJb2TCR+1NO19RPbpQIr2JjmmEGQV65ATvvjcgauFRqAvyOlWa8Hv84u98LPoS7wYIjJX5Q6w==" saltValue="/YaqY+AlYLrpj0nRUFJyA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1.0467640526522441E-2</v>
      </c>
    </row>
    <row r="4" spans="1:8" ht="15.75" customHeight="1" x14ac:dyDescent="0.25">
      <c r="B4" s="16" t="s">
        <v>79</v>
      </c>
      <c r="C4" s="54">
        <v>0.1447940958960211</v>
      </c>
    </row>
    <row r="5" spans="1:8" ht="15.75" customHeight="1" x14ac:dyDescent="0.25">
      <c r="B5" s="16" t="s">
        <v>80</v>
      </c>
      <c r="C5" s="54">
        <v>7.1393503800682726E-2</v>
      </c>
    </row>
    <row r="6" spans="1:8" ht="15.75" customHeight="1" x14ac:dyDescent="0.25">
      <c r="B6" s="16" t="s">
        <v>81</v>
      </c>
      <c r="C6" s="54">
        <v>0.2473048367887892</v>
      </c>
    </row>
    <row r="7" spans="1:8" ht="15.75" customHeight="1" x14ac:dyDescent="0.25">
      <c r="B7" s="16" t="s">
        <v>82</v>
      </c>
      <c r="C7" s="54">
        <v>0.34136309247609009</v>
      </c>
    </row>
    <row r="8" spans="1:8" ht="15.75" customHeight="1" x14ac:dyDescent="0.25">
      <c r="B8" s="16" t="s">
        <v>83</v>
      </c>
      <c r="C8" s="54">
        <v>1.6030576094786569E-2</v>
      </c>
    </row>
    <row r="9" spans="1:8" ht="15.75" customHeight="1" x14ac:dyDescent="0.25">
      <c r="B9" s="16" t="s">
        <v>84</v>
      </c>
      <c r="C9" s="54">
        <v>9.5747714538464132E-2</v>
      </c>
    </row>
    <row r="10" spans="1:8" ht="15.75" customHeight="1" x14ac:dyDescent="0.25">
      <c r="B10" s="16" t="s">
        <v>85</v>
      </c>
      <c r="C10" s="54">
        <v>7.2898539878643864E-2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0.1525534106144821</v>
      </c>
      <c r="D14" s="54">
        <v>0.1525534106144821</v>
      </c>
      <c r="E14" s="54">
        <v>0.1525534106144821</v>
      </c>
      <c r="F14" s="54">
        <v>0.1525534106144821</v>
      </c>
    </row>
    <row r="15" spans="1:8" ht="15.75" customHeight="1" x14ac:dyDescent="0.25">
      <c r="B15" s="16" t="s">
        <v>88</v>
      </c>
      <c r="C15" s="54">
        <v>0.28364087261019039</v>
      </c>
      <c r="D15" s="54">
        <v>0.28364087261019039</v>
      </c>
      <c r="E15" s="54">
        <v>0.28364087261019039</v>
      </c>
      <c r="F15" s="54">
        <v>0.28364087261019039</v>
      </c>
    </row>
    <row r="16" spans="1:8" ht="15.75" customHeight="1" x14ac:dyDescent="0.25">
      <c r="B16" s="16" t="s">
        <v>89</v>
      </c>
      <c r="C16" s="54">
        <v>3.2342629919059E-2</v>
      </c>
      <c r="D16" s="54">
        <v>3.2342629919059E-2</v>
      </c>
      <c r="E16" s="54">
        <v>3.2342629919059E-2</v>
      </c>
      <c r="F16" s="54">
        <v>3.2342629919059E-2</v>
      </c>
    </row>
    <row r="17" spans="1:8" ht="15.75" customHeight="1" x14ac:dyDescent="0.25">
      <c r="B17" s="16" t="s">
        <v>90</v>
      </c>
      <c r="C17" s="54">
        <v>2.903019108606685E-3</v>
      </c>
      <c r="D17" s="54">
        <v>2.903019108606685E-3</v>
      </c>
      <c r="E17" s="54">
        <v>2.903019108606685E-3</v>
      </c>
      <c r="F17" s="54">
        <v>2.903019108606685E-3</v>
      </c>
    </row>
    <row r="18" spans="1:8" ht="15.75" customHeight="1" x14ac:dyDescent="0.25">
      <c r="B18" s="16" t="s">
        <v>91</v>
      </c>
      <c r="C18" s="54">
        <v>1.2333341816234781E-4</v>
      </c>
      <c r="D18" s="54">
        <v>1.2333341816234781E-4</v>
      </c>
      <c r="E18" s="54">
        <v>1.2333341816234781E-4</v>
      </c>
      <c r="F18" s="54">
        <v>1.2333341816234781E-4</v>
      </c>
    </row>
    <row r="19" spans="1:8" ht="15.75" customHeight="1" x14ac:dyDescent="0.25">
      <c r="B19" s="16" t="s">
        <v>92</v>
      </c>
      <c r="C19" s="54">
        <v>5.0555882446855743E-2</v>
      </c>
      <c r="D19" s="54">
        <v>5.0555882446855743E-2</v>
      </c>
      <c r="E19" s="54">
        <v>5.0555882446855743E-2</v>
      </c>
      <c r="F19" s="54">
        <v>5.0555882446855743E-2</v>
      </c>
    </row>
    <row r="20" spans="1:8" ht="15.75" customHeight="1" x14ac:dyDescent="0.25">
      <c r="B20" s="16" t="s">
        <v>93</v>
      </c>
      <c r="C20" s="54">
        <v>2.0282188935596621E-3</v>
      </c>
      <c r="D20" s="54">
        <v>2.0282188935596621E-3</v>
      </c>
      <c r="E20" s="54">
        <v>2.0282188935596621E-3</v>
      </c>
      <c r="F20" s="54">
        <v>2.0282188935596621E-3</v>
      </c>
    </row>
    <row r="21" spans="1:8" ht="15.75" customHeight="1" x14ac:dyDescent="0.25">
      <c r="B21" s="16" t="s">
        <v>94</v>
      </c>
      <c r="C21" s="54">
        <v>0.14736046843876471</v>
      </c>
      <c r="D21" s="54">
        <v>0.14736046843876471</v>
      </c>
      <c r="E21" s="54">
        <v>0.14736046843876471</v>
      </c>
      <c r="F21" s="54">
        <v>0.14736046843876471</v>
      </c>
    </row>
    <row r="22" spans="1:8" ht="15.75" customHeight="1" x14ac:dyDescent="0.25">
      <c r="B22" s="16" t="s">
        <v>95</v>
      </c>
      <c r="C22" s="54">
        <v>0.32849216455031921</v>
      </c>
      <c r="D22" s="54">
        <v>0.32849216455031921</v>
      </c>
      <c r="E22" s="54">
        <v>0.32849216455031921</v>
      </c>
      <c r="F22" s="54">
        <v>0.32849216455031921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4.5900000000000003E-2</v>
      </c>
    </row>
    <row r="27" spans="1:8" ht="15.75" customHeight="1" x14ac:dyDescent="0.25">
      <c r="B27" s="16" t="s">
        <v>102</v>
      </c>
      <c r="C27" s="54">
        <v>2.7699999999999999E-2</v>
      </c>
    </row>
    <row r="28" spans="1:8" ht="15.75" customHeight="1" x14ac:dyDescent="0.25">
      <c r="B28" s="16" t="s">
        <v>103</v>
      </c>
      <c r="C28" s="54">
        <v>0.1915</v>
      </c>
    </row>
    <row r="29" spans="1:8" ht="15.75" customHeight="1" x14ac:dyDescent="0.25">
      <c r="B29" s="16" t="s">
        <v>104</v>
      </c>
      <c r="C29" s="54">
        <v>0.1502</v>
      </c>
    </row>
    <row r="30" spans="1:8" ht="15.75" customHeight="1" x14ac:dyDescent="0.25">
      <c r="B30" s="16" t="s">
        <v>2</v>
      </c>
      <c r="C30" s="54">
        <v>5.0099999999999999E-2</v>
      </c>
    </row>
    <row r="31" spans="1:8" ht="15.75" customHeight="1" x14ac:dyDescent="0.25">
      <c r="B31" s="16" t="s">
        <v>105</v>
      </c>
      <c r="C31" s="54">
        <v>3.0599999999999999E-2</v>
      </c>
    </row>
    <row r="32" spans="1:8" ht="15.75" customHeight="1" x14ac:dyDescent="0.25">
      <c r="B32" s="16" t="s">
        <v>106</v>
      </c>
      <c r="C32" s="54">
        <v>8.6500000000000007E-2</v>
      </c>
    </row>
    <row r="33" spans="2:3" ht="15.75" customHeight="1" x14ac:dyDescent="0.25">
      <c r="B33" s="16" t="s">
        <v>107</v>
      </c>
      <c r="C33" s="54">
        <v>0.16819999999999999</v>
      </c>
    </row>
    <row r="34" spans="2:3" ht="15.75" customHeight="1" x14ac:dyDescent="0.25">
      <c r="B34" s="16" t="s">
        <v>108</v>
      </c>
      <c r="C34" s="54">
        <v>0.24929999999999999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BtbS2J934f7wZKJTBiakv97jAOoXF53gkHIXmFekuNPWEN4kkFuiYRYZaVY6/XTS+pD3px17Ou6/IoGGpj4HoQ==" saltValue="c4BX7964JMX8l6TybBDe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0.56605249643325795</v>
      </c>
      <c r="D2" s="55">
        <v>0.56605249643325795</v>
      </c>
      <c r="E2" s="55">
        <v>0.48504811525344799</v>
      </c>
      <c r="F2" s="55">
        <v>0.30171951651573198</v>
      </c>
      <c r="G2" s="55">
        <v>0.17993749678134899</v>
      </c>
    </row>
    <row r="3" spans="1:15" ht="15.75" customHeight="1" x14ac:dyDescent="0.25">
      <c r="B3" s="7" t="s">
        <v>113</v>
      </c>
      <c r="C3" s="55">
        <v>0.22729682922363301</v>
      </c>
      <c r="D3" s="55">
        <v>0.22729682922363301</v>
      </c>
      <c r="E3" s="55">
        <v>0.245483294129372</v>
      </c>
      <c r="F3" s="55">
        <v>0.27419424057006803</v>
      </c>
      <c r="G3" s="55">
        <v>0.262721598148346</v>
      </c>
    </row>
    <row r="4" spans="1:15" ht="15.75" customHeight="1" x14ac:dyDescent="0.25">
      <c r="B4" s="7" t="s">
        <v>114</v>
      </c>
      <c r="C4" s="56">
        <v>0.113363817334175</v>
      </c>
      <c r="D4" s="56">
        <v>0.113363817334175</v>
      </c>
      <c r="E4" s="56">
        <v>0.15989740192890201</v>
      </c>
      <c r="F4" s="56">
        <v>0.214758396148682</v>
      </c>
      <c r="G4" s="56">
        <v>0.27542984485626198</v>
      </c>
    </row>
    <row r="5" spans="1:15" ht="15.75" customHeight="1" x14ac:dyDescent="0.25">
      <c r="B5" s="7" t="s">
        <v>115</v>
      </c>
      <c r="C5" s="56">
        <v>9.3286857008934007E-2</v>
      </c>
      <c r="D5" s="56">
        <v>9.3286857008934007E-2</v>
      </c>
      <c r="E5" s="56">
        <v>0.109571181237698</v>
      </c>
      <c r="F5" s="56">
        <v>0.20932786166667899</v>
      </c>
      <c r="G5" s="56">
        <v>0.28191107511520402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0.56633931398391701</v>
      </c>
      <c r="D8" s="55">
        <v>0.56633931398391701</v>
      </c>
      <c r="E8" s="55">
        <v>0.46072342991828902</v>
      </c>
      <c r="F8" s="55">
        <v>0.51734822988510099</v>
      </c>
      <c r="G8" s="55">
        <v>0.58439075946807895</v>
      </c>
    </row>
    <row r="9" spans="1:15" ht="15.75" customHeight="1" x14ac:dyDescent="0.25">
      <c r="B9" s="7" t="s">
        <v>118</v>
      </c>
      <c r="C9" s="55">
        <v>0.232931762933731</v>
      </c>
      <c r="D9" s="55">
        <v>0.232931762933731</v>
      </c>
      <c r="E9" s="55">
        <v>0.28759562969207803</v>
      </c>
      <c r="F9" s="55">
        <v>0.28407052159309398</v>
      </c>
      <c r="G9" s="55">
        <v>0.28507411479950001</v>
      </c>
    </row>
    <row r="10" spans="1:15" ht="15.75" customHeight="1" x14ac:dyDescent="0.25">
      <c r="B10" s="7" t="s">
        <v>119</v>
      </c>
      <c r="C10" s="56">
        <v>0.108798742294312</v>
      </c>
      <c r="D10" s="56">
        <v>0.108798742294312</v>
      </c>
      <c r="E10" s="56">
        <v>0.149838626384735</v>
      </c>
      <c r="F10" s="56">
        <v>0.13560928404331199</v>
      </c>
      <c r="G10" s="56">
        <v>9.4634562730789198E-2</v>
      </c>
    </row>
    <row r="11" spans="1:15" ht="15.75" customHeight="1" x14ac:dyDescent="0.25">
      <c r="B11" s="7" t="s">
        <v>120</v>
      </c>
      <c r="C11" s="56">
        <v>9.1930180788040203E-2</v>
      </c>
      <c r="D11" s="56">
        <v>9.1930180788040203E-2</v>
      </c>
      <c r="E11" s="56">
        <v>0.101842321455479</v>
      </c>
      <c r="F11" s="56">
        <v>6.2971971929073292E-2</v>
      </c>
      <c r="G11" s="56">
        <v>3.5900566726923003E-2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0.97213777649999999</v>
      </c>
      <c r="D14" s="57">
        <v>0.97637391212799995</v>
      </c>
      <c r="E14" s="57">
        <v>0.97637391212799995</v>
      </c>
      <c r="F14" s="57">
        <v>0.93586611214799997</v>
      </c>
      <c r="G14" s="57">
        <v>0.93586611214799997</v>
      </c>
      <c r="H14" s="58">
        <v>0.55200000000000005</v>
      </c>
      <c r="I14" s="58">
        <v>0.75541643059490093</v>
      </c>
      <c r="J14" s="58">
        <v>0.79196883852691224</v>
      </c>
      <c r="K14" s="58">
        <v>0.80304532577903687</v>
      </c>
      <c r="L14" s="58">
        <v>0.73226447585900001</v>
      </c>
      <c r="M14" s="58">
        <v>0.68447671021750001</v>
      </c>
      <c r="N14" s="58">
        <v>0.69434135171599987</v>
      </c>
      <c r="O14" s="58">
        <v>0.67473704702399995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0.42879783525905962</v>
      </c>
      <c r="D15" s="55">
        <f t="shared" si="0"/>
        <v>0.43066634179286589</v>
      </c>
      <c r="E15" s="55">
        <f t="shared" si="0"/>
        <v>0.43066634179286589</v>
      </c>
      <c r="F15" s="55">
        <f t="shared" si="0"/>
        <v>0.41279885699552871</v>
      </c>
      <c r="G15" s="55">
        <f t="shared" si="0"/>
        <v>0.41279885699552871</v>
      </c>
      <c r="H15" s="55">
        <f t="shared" si="0"/>
        <v>0.24348030781725408</v>
      </c>
      <c r="I15" s="55">
        <f t="shared" si="0"/>
        <v>0.33320475552800327</v>
      </c>
      <c r="J15" s="55">
        <f t="shared" si="0"/>
        <v>0.34932756627935824</v>
      </c>
      <c r="K15" s="55">
        <f t="shared" si="0"/>
        <v>0.3542132665070416</v>
      </c>
      <c r="L15" s="55">
        <f t="shared" si="0"/>
        <v>0.32299271736556073</v>
      </c>
      <c r="M15" s="55">
        <f t="shared" si="0"/>
        <v>0.30191413061140998</v>
      </c>
      <c r="N15" s="55">
        <f t="shared" si="0"/>
        <v>0.30626530080807957</v>
      </c>
      <c r="O15" s="55">
        <f t="shared" si="0"/>
        <v>0.29761808678461688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/ZrgPV+NSQE9u1guXlJ7gb5mydh7G3xCxCqH0EiEp5PgnXiD9XU4Le4XKPSo4uToL4F6BZIp3kZ3nf+AkRUiwQ==" saltValue="OHvEqGAXDNTnVy4MxVLl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0.20986087620258301</v>
      </c>
      <c r="D2" s="56">
        <v>8.6708339999999995E-2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0.419663816690445</v>
      </c>
      <c r="D3" s="56">
        <v>0.27589580000000002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0.30791074037551902</v>
      </c>
      <c r="D4" s="56">
        <v>0.56925510000000001</v>
      </c>
      <c r="E4" s="56">
        <v>0.84019792079925493</v>
      </c>
      <c r="F4" s="56">
        <v>0.62838995456695601</v>
      </c>
      <c r="G4" s="56">
        <v>0</v>
      </c>
    </row>
    <row r="5" spans="1:7" x14ac:dyDescent="0.25">
      <c r="B5" s="98" t="s">
        <v>132</v>
      </c>
      <c r="C5" s="55">
        <v>6.25645667314529E-2</v>
      </c>
      <c r="D5" s="55">
        <v>6.8140759999999995E-2</v>
      </c>
      <c r="E5" s="55">
        <v>0.1598020792007451</v>
      </c>
      <c r="F5" s="55">
        <v>0.37161004543304399</v>
      </c>
      <c r="G5" s="55">
        <v>1</v>
      </c>
    </row>
  </sheetData>
  <sheetProtection algorithmName="SHA-512" hashValue="7OiG6hn78GJKqqJN8vhB5tYpvjNm7HbZiT5XLtSQORBGOJuiRhYBdKjWuJ2j2MSBZ2dqZQALSt1r/31apIuJCw==" saltValue="u66zSbAk+bOptc+FL7VL8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LknBYbk5Eze4BmzhfnBgLj0CPM92CDpOxvY77uSdWuCWgzY0hpBuYLdTNsmmdT4NRqtshaKxaU/hrB3zh87+1Q==" saltValue="77DAuU/YBW/Gb+WwUmElU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WCxmAgjt0GLaBpQ7tuFpSK0tT+JCiZAXRvLstVRG2LiH8brsDFX34Mk3kmZMldxQLGJB76OluTvKEFaVFC9AFA==" saltValue="9Od9JPyRMsou0lTXmSPEm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7GpmC+aLc7Enc2fMY5xT+AFZ3mP5VPZEB1oQZ4jnY60Er6oJMeJisknOTddJI4Feq0Wfo7maWfhDQOsxJ9rFHA==" saltValue="4T1NlKEdA+BLVt4k/hDE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3VeTvb54wt1HFZuUjDEvREZEVlAfBH9mcNBA+ktZrme9qtei5Evsivp9lfq76dHkW34ZUv5OqMQEjGOlMv/KzA==" saltValue="qKuY9In1bzU82sdt6qtp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2022-02-01T05:09:50Z</dcterms:modified>
</cp:coreProperties>
</file>