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75D643D-40AC-4E4C-BF48-AA44C62F1229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A17" i="2" l="1"/>
  <c r="A38" i="2"/>
  <c r="A21" i="2"/>
  <c r="A31" i="2"/>
  <c r="A22" i="2"/>
  <c r="A14" i="2"/>
  <c r="A25" i="2"/>
  <c r="A35" i="2"/>
  <c r="I5" i="2"/>
  <c r="I9" i="2"/>
  <c r="A15" i="2"/>
  <c r="A26" i="2"/>
  <c r="A37" i="2"/>
  <c r="A40" i="2"/>
  <c r="A27" i="2"/>
  <c r="I2" i="2"/>
  <c r="I6" i="2"/>
  <c r="I10" i="2"/>
  <c r="A18" i="2"/>
  <c r="A29" i="2"/>
  <c r="I38" i="2"/>
  <c r="A19" i="2"/>
  <c r="A30" i="2"/>
  <c r="A39" i="2"/>
  <c r="A33" i="2"/>
  <c r="I4" i="2"/>
  <c r="I8" i="2"/>
  <c r="A13" i="2"/>
  <c r="A23" i="2"/>
  <c r="A34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<sst xmlns="http://schemas.openxmlformats.org/spreadsheetml/2006/main" count="2092" uniqueCount="337">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</sst>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2997657.40625</v>
      </c>
    </row>
    <row r="8" spans="1:3" ht="15" customHeight="1" x14ac:dyDescent="0.25">
      <c r="B8" s="7" t="s">
        <v>19</v>
      </c>
      <c r="C8" s="46">
        <v>0.54400000000000004</v>
      </c>
    </row>
    <row r="9" spans="1:3" ht="15" customHeight="1" x14ac:dyDescent="0.25">
      <c r="B9" s="7" t="s">
        <v>20</v>
      </c>
      <c r="C9" s="47">
        <v>0.83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0.55500000000000005</v>
      </c>
    </row>
    <row r="12" spans="1:3" ht="15" customHeight="1" x14ac:dyDescent="0.25">
      <c r="B12" s="7" t="s">
        <v>23</v>
      </c>
      <c r="C12" s="46">
        <v>0.69700000000000006</v>
      </c>
    </row>
    <row r="13" spans="1:3" ht="15" customHeight="1" x14ac:dyDescent="0.25">
      <c r="B13" s="7" t="s">
        <v>24</v>
      </c>
      <c r="C13" s="46">
        <v>0.36199999999999999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9.5700000000000007E-2</v>
      </c>
    </row>
    <row r="24" spans="1:3" ht="15" customHeight="1" x14ac:dyDescent="0.25">
      <c r="B24" s="12" t="s">
        <v>33</v>
      </c>
      <c r="C24" s="47">
        <v>0.50319999999999998</v>
      </c>
    </row>
    <row r="25" spans="1:3" ht="15" customHeight="1" x14ac:dyDescent="0.25">
      <c r="B25" s="12" t="s">
        <v>34</v>
      </c>
      <c r="C25" s="47">
        <v>0.32229999999999998</v>
      </c>
    </row>
    <row r="26" spans="1:3" ht="15" customHeight="1" x14ac:dyDescent="0.25">
      <c r="B26" s="12" t="s">
        <v>35</v>
      </c>
      <c r="C26" s="47">
        <v>7.8799999999999995E-2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</v>
      </c>
    </row>
    <row r="30" spans="1:3" ht="14.25" customHeight="1" x14ac:dyDescent="0.25">
      <c r="B30" s="22" t="s">
        <v>38</v>
      </c>
      <c r="C30" s="49">
        <v>0.04</v>
      </c>
    </row>
    <row r="31" spans="1:3" ht="14.25" customHeight="1" x14ac:dyDescent="0.25">
      <c r="B31" s="22" t="s">
        <v>39</v>
      </c>
      <c r="C31" s="49">
        <v>0.112</v>
      </c>
    </row>
    <row r="32" spans="1:3" ht="14.25" customHeight="1" x14ac:dyDescent="0.25">
      <c r="B32" s="22" t="s">
        <v>40</v>
      </c>
      <c r="C32" s="49">
        <v>0.64800000000000002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23.280273690776699</v>
      </c>
    </row>
    <row r="38" spans="1:5" ht="15" customHeight="1" x14ac:dyDescent="0.25">
      <c r="B38" s="28" t="s">
        <v>45</v>
      </c>
      <c r="C38" s="117">
        <v>42.4152614198793</v>
      </c>
      <c r="D38" s="9"/>
      <c r="E38" s="10"/>
    </row>
    <row r="39" spans="1:5" ht="15" customHeight="1" x14ac:dyDescent="0.25">
      <c r="B39" s="28" t="s">
        <v>46</v>
      </c>
      <c r="C39" s="117">
        <v>61.663464540319197</v>
      </c>
      <c r="D39" s="9"/>
      <c r="E39" s="9"/>
    </row>
    <row r="40" spans="1:5" ht="15" customHeight="1" x14ac:dyDescent="0.25">
      <c r="B40" s="28" t="s">
        <v>47</v>
      </c>
      <c r="C40" s="117">
        <v>213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14.75985238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2.0782200000000001E-2</v>
      </c>
      <c r="D45" s="9"/>
    </row>
    <row r="46" spans="1:5" ht="15.75" customHeight="1" x14ac:dyDescent="0.25">
      <c r="B46" s="28" t="s">
        <v>52</v>
      </c>
      <c r="C46" s="47">
        <v>0.1087105</v>
      </c>
      <c r="D46" s="9"/>
    </row>
    <row r="47" spans="1:5" ht="15.75" customHeight="1" x14ac:dyDescent="0.25">
      <c r="B47" s="28" t="s">
        <v>53</v>
      </c>
      <c r="C47" s="47">
        <v>0.1841246</v>
      </c>
      <c r="D47" s="9"/>
      <c r="E47" s="10"/>
    </row>
    <row r="48" spans="1:5" ht="15" customHeight="1" x14ac:dyDescent="0.25">
      <c r="B48" s="28" t="s">
        <v>54</v>
      </c>
      <c r="C48" s="48">
        <v>0.68638270000000001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0.48116417427266622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11.5986949999999</v>
      </c>
    </row>
    <row r="63" spans="1:4" ht="15.75" customHeight="1" x14ac:dyDescent="0.25">
      <c r="A63" s="39"/>
    </row>
  </sheetData>
  <sheetProtection algorithmName="SHA-512" hashValue="szaCLY0rIx2vohn3HsFlDOwiGtdTWqd5jCMFAA6K1cPx41+N/OFsEiRAPbYyFBbNW8TkxdPSE1miiw8+RhNkCw==" saltValue="7mNhrMbc4Een7nlCUFJo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0.151794581430267</v>
      </c>
      <c r="C2" s="115">
        <v>0.95</v>
      </c>
      <c r="D2" s="116">
        <v>39.694784016169571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44.74391570258959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126.9573536787713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0.38438675086138191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14.26897757170995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14.26897757170995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14.26897757170995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14.26897757170995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14.26897757170995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14.26897757170995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0.80843429999999994</v>
      </c>
      <c r="C16" s="115">
        <v>0.95</v>
      </c>
      <c r="D16" s="116">
        <v>0.32525745301380288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0.23221729999999999</v>
      </c>
      <c r="C18" s="115">
        <v>0.95</v>
      </c>
      <c r="D18" s="116">
        <v>3.0133371170447369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0.23221729999999999</v>
      </c>
      <c r="C19" s="115">
        <v>0.95</v>
      </c>
      <c r="D19" s="116">
        <v>3.0133371170447369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0.83832790000000001</v>
      </c>
      <c r="C21" s="115">
        <v>0.95</v>
      </c>
      <c r="D21" s="116">
        <v>3.4535387086730069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24.366673580157041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4.7084773800389677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0.62733761796079002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0.72482939999999996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20.578639540376962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0.38511820000000002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71.801996499827609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1.824558777781067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0.64797125932125421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0.73697868349999995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0.8296922000000001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0.31862761222254898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0.139380800136336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4.7630130644995639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0.26370118490977001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DisovEee+lDK+BR+9LifWUf0oY558n8zBbyeHioQFmMBq6Ugn5hfSbKS0VY4LhP9M/P7syL1IGtQk2qlAL4/g==" saltValue="0NT9sNAw63TOGIFjaZQL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8LmGtR/EKYtm+2k63uOg0HqEfY85FaCZBcItbeyqhKD2jcmai0r5jT5VGfgJ+69UUNLRCK0jhc1WoPCkwE1k+A==" saltValue="ZKPIuTAjKiwCpYHOdczk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gRRTThttJpi2B43fLF1FPv484whqskM55EMHVkx2P4bmr/XR5zVShC3JfdNjoiOHsxvI80DllzHACF3hFd766g==" saltValue="NNVaZYu5sYLWOhN7GkFi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7.2209641399999996E-2</v>
      </c>
      <c r="C3" s="18">
        <f>frac_mam_1_5months * 2.6</f>
        <v>7.2209641399999996E-2</v>
      </c>
      <c r="D3" s="18">
        <f>frac_mam_6_11months * 2.6</f>
        <v>0.10989373720000001</v>
      </c>
      <c r="E3" s="18">
        <f>frac_mam_12_23months * 2.6</f>
        <v>9.2207531000000009E-2</v>
      </c>
      <c r="F3" s="18">
        <f>frac_mam_24_59months * 2.6</f>
        <v>5.7483717199999999E-2</v>
      </c>
    </row>
    <row r="4" spans="1:6" ht="15.75" customHeight="1" x14ac:dyDescent="0.25">
      <c r="A4" s="4" t="s">
        <v>208</v>
      </c>
      <c r="B4" s="18">
        <f>frac_sam_1month * 2.6</f>
        <v>6.0346535600000001E-2</v>
      </c>
      <c r="C4" s="18">
        <f>frac_sam_1_5months * 2.6</f>
        <v>6.0346535600000001E-2</v>
      </c>
      <c r="D4" s="18">
        <f>frac_sam_6_11months * 2.6</f>
        <v>2.684162E-2</v>
      </c>
      <c r="E4" s="18">
        <f>frac_sam_12_23months * 2.6</f>
        <v>4.4572715200000002E-2</v>
      </c>
      <c r="F4" s="18">
        <f>frac_sam_24_59months * 2.6</f>
        <v>3.4968515400000004E-2</v>
      </c>
    </row>
  </sheetData>
  <sheetProtection algorithmName="SHA-512" hashValue="HpK3JZf/AUHtM3kr89nbF+IPm4moE7iMI9+Jr1yUQm0XuW+avNnYkNTB1ahONybdBvGvMiAp/ny3A846i4kViA==" saltValue="+wZhIhTtujdjhEFMfLkE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0.54400000000000004</v>
      </c>
      <c r="E2" s="65">
        <f>food_insecure</f>
        <v>0.54400000000000004</v>
      </c>
      <c r="F2" s="65">
        <f>food_insecure</f>
        <v>0.54400000000000004</v>
      </c>
      <c r="G2" s="65">
        <f>food_insecure</f>
        <v>0.54400000000000004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0.54400000000000004</v>
      </c>
      <c r="F5" s="65">
        <f>food_insecure</f>
        <v>0.54400000000000004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0.54400000000000004</v>
      </c>
      <c r="F8" s="65">
        <f>food_insecure</f>
        <v>0.54400000000000004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0.54400000000000004</v>
      </c>
      <c r="F9" s="65">
        <f>food_insecure</f>
        <v>0.54400000000000004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0.69700000000000006</v>
      </c>
      <c r="E10" s="65">
        <f>IF(ISBLANK(comm_deliv), frac_children_health_facility,1)</f>
        <v>0.69700000000000006</v>
      </c>
      <c r="F10" s="65">
        <f>IF(ISBLANK(comm_deliv), frac_children_health_facility,1)</f>
        <v>0.69700000000000006</v>
      </c>
      <c r="G10" s="65">
        <f>IF(ISBLANK(comm_deliv), frac_children_health_facility,1)</f>
        <v>0.69700000000000006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0.54400000000000004</v>
      </c>
      <c r="I15" s="65">
        <f>food_insecure</f>
        <v>0.54400000000000004</v>
      </c>
      <c r="J15" s="65">
        <f>food_insecure</f>
        <v>0.54400000000000004</v>
      </c>
      <c r="K15" s="65">
        <f>food_insecure</f>
        <v>0.54400000000000004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0.55500000000000005</v>
      </c>
      <c r="I18" s="65">
        <f>frac_PW_health_facility</f>
        <v>0.55500000000000005</v>
      </c>
      <c r="J18" s="65">
        <f>frac_PW_health_facility</f>
        <v>0.55500000000000005</v>
      </c>
      <c r="K18" s="65">
        <f>frac_PW_health_facility</f>
        <v>0.55500000000000005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0.83</v>
      </c>
      <c r="I19" s="65">
        <f>frac_malaria_risk</f>
        <v>0.83</v>
      </c>
      <c r="J19" s="65">
        <f>frac_malaria_risk</f>
        <v>0.83</v>
      </c>
      <c r="K19" s="65">
        <f>frac_malaria_risk</f>
        <v>0.83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0.36199999999999999</v>
      </c>
      <c r="M24" s="65">
        <f>famplan_unmet_need</f>
        <v>0.36199999999999999</v>
      </c>
      <c r="N24" s="65">
        <f>famplan_unmet_need</f>
        <v>0.36199999999999999</v>
      </c>
      <c r="O24" s="65">
        <f>famplan_unmet_need</f>
        <v>0.36199999999999999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0.40723769270620802</v>
      </c>
      <c r="M25" s="65">
        <f>(1-food_insecure)*(0.49)+food_insecure*(0.7)</f>
        <v>0.60424</v>
      </c>
      <c r="N25" s="65">
        <f>(1-food_insecure)*(0.49)+food_insecure*(0.7)</f>
        <v>0.60424</v>
      </c>
      <c r="O25" s="65">
        <f>(1-food_insecure)*(0.49)+food_insecure*(0.7)</f>
        <v>0.60424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0.174530439731232</v>
      </c>
      <c r="M26" s="65">
        <f>(1-food_insecure)*(0.21)+food_insecure*(0.3)</f>
        <v>0.25895999999999997</v>
      </c>
      <c r="N26" s="65">
        <f>(1-food_insecure)*(0.21)+food_insecure*(0.3)</f>
        <v>0.25895999999999997</v>
      </c>
      <c r="O26" s="65">
        <f>(1-food_insecure)*(0.21)+food_insecure*(0.3)</f>
        <v>0.25895999999999997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9.2198656762559991E-2</v>
      </c>
      <c r="M27" s="65">
        <f>(1-food_insecure)*(0.3)</f>
        <v>0.13679999999999998</v>
      </c>
      <c r="N27" s="65">
        <f>(1-food_insecure)*(0.3)</f>
        <v>0.13679999999999998</v>
      </c>
      <c r="O27" s="65">
        <f>(1-food_insecure)*(0.3)</f>
        <v>0.13679999999999998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0.83</v>
      </c>
      <c r="D34" s="65">
        <f t="shared" si="3"/>
        <v>0.83</v>
      </c>
      <c r="E34" s="65">
        <f t="shared" si="3"/>
        <v>0.83</v>
      </c>
      <c r="F34" s="65">
        <f t="shared" si="3"/>
        <v>0.83</v>
      </c>
      <c r="G34" s="65">
        <f t="shared" si="3"/>
        <v>0.83</v>
      </c>
      <c r="H34" s="65">
        <f t="shared" si="3"/>
        <v>0.83</v>
      </c>
      <c r="I34" s="65">
        <f t="shared" si="3"/>
        <v>0.83</v>
      </c>
      <c r="J34" s="65">
        <f t="shared" si="3"/>
        <v>0.83</v>
      </c>
      <c r="K34" s="65">
        <f t="shared" si="3"/>
        <v>0.83</v>
      </c>
      <c r="L34" s="65">
        <f t="shared" si="3"/>
        <v>0.83</v>
      </c>
      <c r="M34" s="65">
        <f t="shared" si="3"/>
        <v>0.83</v>
      </c>
      <c r="N34" s="65">
        <f t="shared" si="3"/>
        <v>0.83</v>
      </c>
      <c r="O34" s="65">
        <f t="shared" si="3"/>
        <v>0.83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Da+Phos3Aig6UqJGt1MZfhGOz1faxeeBb50UipfdauHZEdCvydmfB5/SZzycuL9gyM90n+MGB9AwV0EzW1qQnA==" saltValue="3ZLMQjL6zsBW9+Bhbybv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ZJ5lIvlYd1fNARfNAi5O09H7eWN48JagAJobeZB6dfgSI5zqj7fG8e92jggoEtIdy1JcujOWnqKyKeyg/CYdcg==" saltValue="q5yW02BeWIACi0jgmDL2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qXDRPEQ3A7FShLhQp7n8+FDNUJiqro4a7SUnMR1MyWyjCf7mqrH0r6vJxrRn19T/MWGZhLR0IsuwY8FdzDf6Q==" saltValue="PF6hCPUYQYwNcaJPHPAz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dtBEwE2BtFRXVizETSOdA3RGGgecBcoq+GNSu4rfCcmyv/Y3SdogEPUey/vB9P70k+D0kHdwmtR+fFCezyuww==" saltValue="4r2/LxyFhdhK+bf2ugYy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j0Pkx3gxvBL5jX2ZMyN+jzYGFnrcSefxlDIHEWIcOJ7eZihVGQHZqZo9XEHz9ow6LhBskMl7eIjDTGniMQtKg==" saltValue="kDFBQMCPZ0QqSayMJFlZ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lg/JnVopMXf856KNdpfFNTtamiicG1Mq5vj2MjkB7hyk7Ns8DZlVLvouTqOfZ5L1rB2emYGk1d/t2wwokjOVA==" saltValue="+cWLhVTLx/mZx/2v3vZJ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704897.35100000002</v>
      </c>
      <c r="C2" s="53">
        <v>1082000</v>
      </c>
      <c r="D2" s="53">
        <v>1683000</v>
      </c>
      <c r="E2" s="53">
        <v>1165000</v>
      </c>
      <c r="F2" s="53">
        <v>771000</v>
      </c>
      <c r="G2" s="14">
        <f t="shared" ref="G2:G11" si="0">C2+D2+E2+F2</f>
        <v>4701000</v>
      </c>
      <c r="H2" s="14">
        <f t="shared" ref="H2:H11" si="1">(B2 + stillbirth*B2/(1000-stillbirth))/(1-abortion)</f>
        <v>749955.34230331855</v>
      </c>
      <c r="I2" s="14">
        <f t="shared" ref="I2:I11" si="2">G2-H2</f>
        <v>3951044.6576966816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719621.90879999998</v>
      </c>
      <c r="C3" s="53">
        <v>1106000</v>
      </c>
      <c r="D3" s="53">
        <v>1741000</v>
      </c>
      <c r="E3" s="53">
        <v>1201000</v>
      </c>
      <c r="F3" s="53">
        <v>805000</v>
      </c>
      <c r="G3" s="14">
        <f t="shared" si="0"/>
        <v>4853000</v>
      </c>
      <c r="H3" s="14">
        <f t="shared" si="1"/>
        <v>765621.11373727012</v>
      </c>
      <c r="I3" s="14">
        <f t="shared" si="2"/>
        <v>4087378.8862627298</v>
      </c>
    </row>
    <row r="4" spans="1:9" ht="15.75" customHeight="1" x14ac:dyDescent="0.25">
      <c r="A4" s="7">
        <f t="shared" si="3"/>
        <v>2023</v>
      </c>
      <c r="B4" s="52">
        <v>734462.73079999979</v>
      </c>
      <c r="C4" s="53">
        <v>1130000</v>
      </c>
      <c r="D4" s="53">
        <v>1801000</v>
      </c>
      <c r="E4" s="53">
        <v>1239000</v>
      </c>
      <c r="F4" s="53">
        <v>837000</v>
      </c>
      <c r="G4" s="14">
        <f t="shared" si="0"/>
        <v>5007000</v>
      </c>
      <c r="H4" s="14">
        <f t="shared" si="1"/>
        <v>781410.58113600989</v>
      </c>
      <c r="I4" s="14">
        <f t="shared" si="2"/>
        <v>4225589.4188639903</v>
      </c>
    </row>
    <row r="5" spans="1:9" ht="15.75" customHeight="1" x14ac:dyDescent="0.25">
      <c r="A5" s="7">
        <f t="shared" si="3"/>
        <v>2024</v>
      </c>
      <c r="B5" s="52">
        <v>749479.18719999981</v>
      </c>
      <c r="C5" s="53">
        <v>1154000</v>
      </c>
      <c r="D5" s="53">
        <v>1861000</v>
      </c>
      <c r="E5" s="53">
        <v>1279000</v>
      </c>
      <c r="F5" s="53">
        <v>870000</v>
      </c>
      <c r="G5" s="14">
        <f t="shared" si="0"/>
        <v>5164000</v>
      </c>
      <c r="H5" s="14">
        <f t="shared" si="1"/>
        <v>797386.90972295741</v>
      </c>
      <c r="I5" s="14">
        <f t="shared" si="2"/>
        <v>4366613.0902770422</v>
      </c>
    </row>
    <row r="6" spans="1:9" ht="15.75" customHeight="1" x14ac:dyDescent="0.25">
      <c r="A6" s="7">
        <f t="shared" si="3"/>
        <v>2025</v>
      </c>
      <c r="B6" s="52">
        <v>764621.946</v>
      </c>
      <c r="C6" s="53">
        <v>1180000</v>
      </c>
      <c r="D6" s="53">
        <v>1920000</v>
      </c>
      <c r="E6" s="53">
        <v>1321000</v>
      </c>
      <c r="F6" s="53">
        <v>902000</v>
      </c>
      <c r="G6" s="14">
        <f t="shared" si="0"/>
        <v>5323000</v>
      </c>
      <c r="H6" s="14">
        <f t="shared" si="1"/>
        <v>813497.61413000326</v>
      </c>
      <c r="I6" s="14">
        <f t="shared" si="2"/>
        <v>4509502.3858699966</v>
      </c>
    </row>
    <row r="7" spans="1:9" ht="15.75" customHeight="1" x14ac:dyDescent="0.25">
      <c r="A7" s="7">
        <f t="shared" si="3"/>
        <v>2026</v>
      </c>
      <c r="B7" s="52">
        <v>779171.44819999998</v>
      </c>
      <c r="C7" s="53">
        <v>1206000</v>
      </c>
      <c r="D7" s="53">
        <v>1976000</v>
      </c>
      <c r="E7" s="53">
        <v>1366000</v>
      </c>
      <c r="F7" s="53">
        <v>935000</v>
      </c>
      <c r="G7" s="14">
        <f t="shared" si="0"/>
        <v>5483000</v>
      </c>
      <c r="H7" s="14">
        <f t="shared" si="1"/>
        <v>828977.14017342567</v>
      </c>
      <c r="I7" s="14">
        <f t="shared" si="2"/>
        <v>4654022.8598265741</v>
      </c>
    </row>
    <row r="8" spans="1:9" ht="15.75" customHeight="1" x14ac:dyDescent="0.25">
      <c r="A8" s="7">
        <f t="shared" si="3"/>
        <v>2027</v>
      </c>
      <c r="B8" s="52">
        <v>793815.34939999995</v>
      </c>
      <c r="C8" s="53">
        <v>1233000</v>
      </c>
      <c r="D8" s="53">
        <v>2033000</v>
      </c>
      <c r="E8" s="53">
        <v>1412000</v>
      </c>
      <c r="F8" s="53">
        <v>968000</v>
      </c>
      <c r="G8" s="14">
        <f t="shared" si="0"/>
        <v>5646000</v>
      </c>
      <c r="H8" s="14">
        <f t="shared" si="1"/>
        <v>844557.09932850255</v>
      </c>
      <c r="I8" s="14">
        <f t="shared" si="2"/>
        <v>4801442.900671497</v>
      </c>
    </row>
    <row r="9" spans="1:9" ht="15.75" customHeight="1" x14ac:dyDescent="0.25">
      <c r="A9" s="7">
        <f t="shared" si="3"/>
        <v>2028</v>
      </c>
      <c r="B9" s="52">
        <v>808503.91019999993</v>
      </c>
      <c r="C9" s="53">
        <v>1261000</v>
      </c>
      <c r="D9" s="53">
        <v>2088000</v>
      </c>
      <c r="E9" s="53">
        <v>1462000</v>
      </c>
      <c r="F9" s="53">
        <v>1000000</v>
      </c>
      <c r="G9" s="14">
        <f t="shared" si="0"/>
        <v>5811000</v>
      </c>
      <c r="H9" s="14">
        <f t="shared" si="1"/>
        <v>860184.57278556633</v>
      </c>
      <c r="I9" s="14">
        <f t="shared" si="2"/>
        <v>4950815.4272144334</v>
      </c>
    </row>
    <row r="10" spans="1:9" ht="15.75" customHeight="1" x14ac:dyDescent="0.25">
      <c r="A10" s="7">
        <f t="shared" si="3"/>
        <v>2029</v>
      </c>
      <c r="B10" s="52">
        <v>823188.75599999994</v>
      </c>
      <c r="C10" s="53">
        <v>1291000</v>
      </c>
      <c r="D10" s="53">
        <v>2143000</v>
      </c>
      <c r="E10" s="53">
        <v>1514000</v>
      </c>
      <c r="F10" s="53">
        <v>1034000</v>
      </c>
      <c r="G10" s="14">
        <f t="shared" si="0"/>
        <v>5982000</v>
      </c>
      <c r="H10" s="14">
        <f t="shared" si="1"/>
        <v>875808.09377480962</v>
      </c>
      <c r="I10" s="14">
        <f t="shared" si="2"/>
        <v>5106191.9062251905</v>
      </c>
    </row>
    <row r="11" spans="1:9" ht="15.75" customHeight="1" x14ac:dyDescent="0.25">
      <c r="A11" s="7">
        <f t="shared" si="3"/>
        <v>2030</v>
      </c>
      <c r="B11" s="52">
        <v>837822.87700000009</v>
      </c>
      <c r="C11" s="53">
        <v>1323000</v>
      </c>
      <c r="D11" s="53">
        <v>2196000</v>
      </c>
      <c r="E11" s="53">
        <v>1568000</v>
      </c>
      <c r="F11" s="53">
        <v>1069000</v>
      </c>
      <c r="G11" s="14">
        <f t="shared" si="0"/>
        <v>6156000</v>
      </c>
      <c r="H11" s="14">
        <f t="shared" si="1"/>
        <v>891377.64756628533</v>
      </c>
      <c r="I11" s="14">
        <f t="shared" si="2"/>
        <v>5264622.352433715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i+W1oS8l0SX568pCCGciAO+OiRdn3O1EExgHvb1IRul4Xvl+KUZSzY9RlhH5QYxJ/duslVbFXxkOheoLwy2NA==" saltValue="M2on9dwyQaf0FXGc2Y07C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BeO8pDdVVJZdyZouPaxx6D5YrLGq9lxEOhJr/NkZOC74CQFbmrMJ2lE2hpyx0BaQo35as1GWjHivJ1szmDpPg==" saltValue="YElmHV0+zFWLjV7x359iT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IuCa6f+UR1bXxZTO0/60gu45szn0cymtjTMr1iYwPhwi+Rw5XacflrtcEs7cHJe9rQ9k6KqYKt6a/OwJR4EYA==" saltValue="Drx1xAYiHeJur3k65SSK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3LIVSf2YVOddSfep9SgZ7W89N1gZ5u9M+V436XUgcWNNqPz5XLqrr/XUBEQkSC6QysTddp4q3Gemffkhdi5NXA==" saltValue="ryOEC8HmhNi8/+Ss2NM5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driRdHW+V4NRHNTa5plFT0ISwQILSHwj8PlezWKT2A1Ik2S62CgDCJDG7zwj+98GRxsvqT1Xgk/cjskp5Lwuw==" saltValue="pUEdvErssk1KvrhSlYVU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5+bY21tAYpjey9S4DrYrh1BKMrb7JbM5861o/gam0hdoz3NM6cyekQvozDAN5mENeyCoFwfJFCtG3y3x9v3ifw==" saltValue="2xHux/oGhJwmkxxmrizW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dt30kgzJd/agMHG4SHt7KwWnmBHxiduPrPEqgS9OnX1MHFZc5YjcklQH0FREVpuMiVpnTGq4P700DaWqK7DoWA==" saltValue="Eynhn/H2l0AhJy2lp2f/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c5fypXsIrO3jTVC5u1mKRLC02YLr/yYPPK/KA6nSpvsoiIxGf/X2Qc9ZmiU97GKXWWXrHacjUxBGctACK+Ek8w==" saltValue="TXs1KfNcSZ5EBd/lL9Ni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5OiJA5RVwasNdVHYNIOlBBudScz/BJXJtcTVNfEJ7uMlSaFyN8ya/PH7QEt3py0lhPfqDWBe1dIYkHzpZei6g==" saltValue="VvmspJe7vqE9TpmWG/yi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MXCKS/XogUTM6waxtWPIG52EzT8opYNPk4cehurIkdwStK+Z+AyViMCFDC47e2Py+43vCetEoBF8NoHPJaF8mA==" saltValue="oJTgzNpJoOZidp3wbOaTl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4.1152727501578227E-3</v>
      </c>
    </row>
    <row r="4" spans="1:8" ht="15.75" customHeight="1" x14ac:dyDescent="0.25">
      <c r="B4" s="16" t="s">
        <v>79</v>
      </c>
      <c r="C4" s="54">
        <v>0.1582186006164702</v>
      </c>
    </row>
    <row r="5" spans="1:8" ht="15.75" customHeight="1" x14ac:dyDescent="0.25">
      <c r="B5" s="16" t="s">
        <v>80</v>
      </c>
      <c r="C5" s="54">
        <v>7.0012519841539819E-2</v>
      </c>
    </row>
    <row r="6" spans="1:8" ht="15.75" customHeight="1" x14ac:dyDescent="0.25">
      <c r="B6" s="16" t="s">
        <v>81</v>
      </c>
      <c r="C6" s="54">
        <v>0.29487244359277431</v>
      </c>
    </row>
    <row r="7" spans="1:8" ht="15.75" customHeight="1" x14ac:dyDescent="0.25">
      <c r="B7" s="16" t="s">
        <v>82</v>
      </c>
      <c r="C7" s="54">
        <v>0.28398539912710702</v>
      </c>
    </row>
    <row r="8" spans="1:8" ht="15.75" customHeight="1" x14ac:dyDescent="0.25">
      <c r="B8" s="16" t="s">
        <v>83</v>
      </c>
      <c r="C8" s="54">
        <v>6.5450198454208349E-3</v>
      </c>
    </row>
    <row r="9" spans="1:8" ht="15.75" customHeight="1" x14ac:dyDescent="0.25">
      <c r="B9" s="16" t="s">
        <v>84</v>
      </c>
      <c r="C9" s="54">
        <v>0.101077701603489</v>
      </c>
    </row>
    <row r="10" spans="1:8" ht="15.75" customHeight="1" x14ac:dyDescent="0.25">
      <c r="B10" s="16" t="s">
        <v>85</v>
      </c>
      <c r="C10" s="54">
        <v>8.1173042623041064E-2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0.1137720283169486</v>
      </c>
      <c r="D14" s="54">
        <v>0.1137720283169486</v>
      </c>
      <c r="E14" s="54">
        <v>0.1137720283169486</v>
      </c>
      <c r="F14" s="54">
        <v>0.1137720283169486</v>
      </c>
    </row>
    <row r="15" spans="1:8" ht="15.75" customHeight="1" x14ac:dyDescent="0.25">
      <c r="B15" s="16" t="s">
        <v>88</v>
      </c>
      <c r="C15" s="54">
        <v>0.16723664723990239</v>
      </c>
      <c r="D15" s="54">
        <v>0.16723664723990239</v>
      </c>
      <c r="E15" s="54">
        <v>0.16723664723990239</v>
      </c>
      <c r="F15" s="54">
        <v>0.16723664723990239</v>
      </c>
    </row>
    <row r="16" spans="1:8" ht="15.75" customHeight="1" x14ac:dyDescent="0.25">
      <c r="B16" s="16" t="s">
        <v>89</v>
      </c>
      <c r="C16" s="54">
        <v>1.480856849488427E-2</v>
      </c>
      <c r="D16" s="54">
        <v>1.480856849488427E-2</v>
      </c>
      <c r="E16" s="54">
        <v>1.480856849488427E-2</v>
      </c>
      <c r="F16" s="54">
        <v>1.480856849488427E-2</v>
      </c>
    </row>
    <row r="17" spans="1:8" ht="15.75" customHeight="1" x14ac:dyDescent="0.25">
      <c r="B17" s="16" t="s">
        <v>90</v>
      </c>
      <c r="C17" s="54">
        <v>2.7588442294122809E-5</v>
      </c>
      <c r="D17" s="54">
        <v>2.7588442294122809E-5</v>
      </c>
      <c r="E17" s="54">
        <v>2.7588442294122809E-5</v>
      </c>
      <c r="F17" s="54">
        <v>2.7588442294122809E-5</v>
      </c>
    </row>
    <row r="18" spans="1:8" ht="15.75" customHeight="1" x14ac:dyDescent="0.25">
      <c r="B18" s="16" t="s">
        <v>91</v>
      </c>
      <c r="C18" s="54">
        <v>0.12057240509600881</v>
      </c>
      <c r="D18" s="54">
        <v>0.12057240509600881</v>
      </c>
      <c r="E18" s="54">
        <v>0.12057240509600881</v>
      </c>
      <c r="F18" s="54">
        <v>0.12057240509600881</v>
      </c>
    </row>
    <row r="19" spans="1:8" ht="15.75" customHeight="1" x14ac:dyDescent="0.25">
      <c r="B19" s="16" t="s">
        <v>92</v>
      </c>
      <c r="C19" s="54">
        <v>1.837735016162317E-2</v>
      </c>
      <c r="D19" s="54">
        <v>1.837735016162317E-2</v>
      </c>
      <c r="E19" s="54">
        <v>1.837735016162317E-2</v>
      </c>
      <c r="F19" s="54">
        <v>1.837735016162317E-2</v>
      </c>
    </row>
    <row r="20" spans="1:8" ht="15.75" customHeight="1" x14ac:dyDescent="0.25">
      <c r="B20" s="16" t="s">
        <v>93</v>
      </c>
      <c r="C20" s="54">
        <v>0.18696624681336271</v>
      </c>
      <c r="D20" s="54">
        <v>0.18696624681336271</v>
      </c>
      <c r="E20" s="54">
        <v>0.18696624681336271</v>
      </c>
      <c r="F20" s="54">
        <v>0.18696624681336271</v>
      </c>
    </row>
    <row r="21" spans="1:8" ht="15.75" customHeight="1" x14ac:dyDescent="0.25">
      <c r="B21" s="16" t="s">
        <v>94</v>
      </c>
      <c r="C21" s="54">
        <v>9.619924054649262E-2</v>
      </c>
      <c r="D21" s="54">
        <v>9.619924054649262E-2</v>
      </c>
      <c r="E21" s="54">
        <v>9.619924054649262E-2</v>
      </c>
      <c r="F21" s="54">
        <v>9.619924054649262E-2</v>
      </c>
    </row>
    <row r="22" spans="1:8" ht="15.75" customHeight="1" x14ac:dyDescent="0.25">
      <c r="B22" s="16" t="s">
        <v>95</v>
      </c>
      <c r="C22" s="54">
        <v>0.2820399248884834</v>
      </c>
      <c r="D22" s="54">
        <v>0.2820399248884834</v>
      </c>
      <c r="E22" s="54">
        <v>0.2820399248884834</v>
      </c>
      <c r="F22" s="54">
        <v>0.2820399248884834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8.1900000000000001E-2</v>
      </c>
    </row>
    <row r="27" spans="1:8" ht="15.75" customHeight="1" x14ac:dyDescent="0.25">
      <c r="B27" s="16" t="s">
        <v>102</v>
      </c>
      <c r="C27" s="54">
        <v>8.199999999999999E-3</v>
      </c>
    </row>
    <row r="28" spans="1:8" ht="15.75" customHeight="1" x14ac:dyDescent="0.25">
      <c r="B28" s="16" t="s">
        <v>103</v>
      </c>
      <c r="C28" s="54">
        <v>0.14369999999999999</v>
      </c>
    </row>
    <row r="29" spans="1:8" ht="15.75" customHeight="1" x14ac:dyDescent="0.25">
      <c r="B29" s="16" t="s">
        <v>104</v>
      </c>
      <c r="C29" s="54">
        <v>0.15390000000000001</v>
      </c>
    </row>
    <row r="30" spans="1:8" ht="15.75" customHeight="1" x14ac:dyDescent="0.25">
      <c r="B30" s="16" t="s">
        <v>2</v>
      </c>
      <c r="C30" s="54">
        <v>9.74E-2</v>
      </c>
    </row>
    <row r="31" spans="1:8" ht="15.75" customHeight="1" x14ac:dyDescent="0.25">
      <c r="B31" s="16" t="s">
        <v>105</v>
      </c>
      <c r="C31" s="54">
        <v>9.8900000000000002E-2</v>
      </c>
    </row>
    <row r="32" spans="1:8" ht="15.75" customHeight="1" x14ac:dyDescent="0.25">
      <c r="B32" s="16" t="s">
        <v>106</v>
      </c>
      <c r="C32" s="54">
        <v>1.7000000000000001E-2</v>
      </c>
    </row>
    <row r="33" spans="2:3" ht="15.75" customHeight="1" x14ac:dyDescent="0.25">
      <c r="B33" s="16" t="s">
        <v>107</v>
      </c>
      <c r="C33" s="54">
        <v>7.6499999999999999E-2</v>
      </c>
    </row>
    <row r="34" spans="2:3" ht="15.75" customHeight="1" x14ac:dyDescent="0.25">
      <c r="B34" s="16" t="s">
        <v>108</v>
      </c>
      <c r="C34" s="54">
        <v>0.32250000000000001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lG4bgLKfMRZhHRcXzLg9zDXS3+gUpOn5t9Zqyx8OesSEB40R+1zVaKH9YkC596+AiLe3Ce6JQUyzpdQN39wQyw==" saltValue="uHVZMvAMYBacUvpscBpQf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0.55330340999999994</v>
      </c>
      <c r="D2" s="55">
        <v>0.55330340999999994</v>
      </c>
      <c r="E2" s="55">
        <v>0.43002430000000003</v>
      </c>
      <c r="F2" s="55">
        <v>0.28132114000000003</v>
      </c>
      <c r="G2" s="55">
        <v>0.30566301000000001</v>
      </c>
    </row>
    <row r="3" spans="1:15" ht="15.75" customHeight="1" x14ac:dyDescent="0.25">
      <c r="B3" s="7" t="s">
        <v>113</v>
      </c>
      <c r="C3" s="55">
        <v>0.26259115</v>
      </c>
      <c r="D3" s="55">
        <v>0.26259115</v>
      </c>
      <c r="E3" s="55">
        <v>0.31852986999999999</v>
      </c>
      <c r="F3" s="55">
        <v>0.30235162999999998</v>
      </c>
      <c r="G3" s="55">
        <v>0.32398598000000001</v>
      </c>
    </row>
    <row r="4" spans="1:15" ht="15.75" customHeight="1" x14ac:dyDescent="0.25">
      <c r="B4" s="7" t="s">
        <v>114</v>
      </c>
      <c r="C4" s="56">
        <v>0.11754718</v>
      </c>
      <c r="D4" s="56">
        <v>0.11754718</v>
      </c>
      <c r="E4" s="56">
        <v>0.1670768</v>
      </c>
      <c r="F4" s="56">
        <v>0.24692069999999999</v>
      </c>
      <c r="G4" s="56">
        <v>0.25760618000000002</v>
      </c>
    </row>
    <row r="5" spans="1:15" ht="15.75" customHeight="1" x14ac:dyDescent="0.25">
      <c r="B5" s="7" t="s">
        <v>115</v>
      </c>
      <c r="C5" s="56">
        <v>6.6558255999999996E-2</v>
      </c>
      <c r="D5" s="56">
        <v>6.6558255999999996E-2</v>
      </c>
      <c r="E5" s="56">
        <v>8.4369020000000003E-2</v>
      </c>
      <c r="F5" s="56">
        <v>0.16940654999999999</v>
      </c>
      <c r="G5" s="56">
        <v>0.11274486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0.83916893000000004</v>
      </c>
      <c r="D8" s="55">
        <v>0.83916893000000004</v>
      </c>
      <c r="E8" s="55">
        <v>0.79348740000000006</v>
      </c>
      <c r="F8" s="55">
        <v>0.78720763999999999</v>
      </c>
      <c r="G8" s="55">
        <v>0.86704323000000005</v>
      </c>
    </row>
    <row r="9" spans="1:15" ht="15.75" customHeight="1" x14ac:dyDescent="0.25">
      <c r="B9" s="7" t="s">
        <v>118</v>
      </c>
      <c r="C9" s="55">
        <v>0.10984795</v>
      </c>
      <c r="D9" s="55">
        <v>0.10984795</v>
      </c>
      <c r="E9" s="55">
        <v>0.15392202999999999</v>
      </c>
      <c r="F9" s="55">
        <v>0.16018456</v>
      </c>
      <c r="G9" s="55">
        <v>9.7398281000000003E-2</v>
      </c>
    </row>
    <row r="10" spans="1:15" ht="15.75" customHeight="1" x14ac:dyDescent="0.25">
      <c r="B10" s="7" t="s">
        <v>119</v>
      </c>
      <c r="C10" s="56">
        <v>2.7772939E-2</v>
      </c>
      <c r="D10" s="56">
        <v>2.7772939E-2</v>
      </c>
      <c r="E10" s="56">
        <v>4.2266822000000003E-2</v>
      </c>
      <c r="F10" s="56">
        <v>3.5464435000000002E-2</v>
      </c>
      <c r="G10" s="56">
        <v>2.2109121999999998E-2</v>
      </c>
    </row>
    <row r="11" spans="1:15" ht="15.75" customHeight="1" x14ac:dyDescent="0.25">
      <c r="B11" s="7" t="s">
        <v>120</v>
      </c>
      <c r="C11" s="56">
        <v>2.3210206000000001E-2</v>
      </c>
      <c r="D11" s="56">
        <v>2.3210206000000001E-2</v>
      </c>
      <c r="E11" s="56">
        <v>1.03237E-2</v>
      </c>
      <c r="F11" s="56">
        <v>1.7143352000000001E-2</v>
      </c>
      <c r="G11" s="56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0.68039410399999989</v>
      </c>
      <c r="D14" s="57">
        <v>0.6725565473509999</v>
      </c>
      <c r="E14" s="57">
        <v>0.6725565473509999</v>
      </c>
      <c r="F14" s="57">
        <v>0.61939207375200001</v>
      </c>
      <c r="G14" s="57">
        <v>0.61939207375200001</v>
      </c>
      <c r="H14" s="58">
        <v>0.76500000000000001</v>
      </c>
      <c r="I14" s="58">
        <v>0.39100000000000001</v>
      </c>
      <c r="J14" s="58">
        <v>0.39100000000000001</v>
      </c>
      <c r="K14" s="58">
        <v>0.39100000000000001</v>
      </c>
      <c r="L14" s="58">
        <v>0.240025503709</v>
      </c>
      <c r="M14" s="58">
        <v>0.24567805249050001</v>
      </c>
      <c r="N14" s="58">
        <v>0.24599560731449999</v>
      </c>
      <c r="O14" s="58">
        <v>0.28722129044650002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0.32738126723115052</v>
      </c>
      <c r="D15" s="55">
        <f t="shared" si="0"/>
        <v>0.32361011575781923</v>
      </c>
      <c r="E15" s="55">
        <f t="shared" si="0"/>
        <v>0.32361011575781923</v>
      </c>
      <c r="F15" s="55">
        <f t="shared" si="0"/>
        <v>0.29802927571791549</v>
      </c>
      <c r="G15" s="55">
        <f t="shared" si="0"/>
        <v>0.29802927571791549</v>
      </c>
      <c r="H15" s="55">
        <f t="shared" si="0"/>
        <v>0.36809059331858968</v>
      </c>
      <c r="I15" s="55">
        <f t="shared" si="0"/>
        <v>0.1881351921406125</v>
      </c>
      <c r="J15" s="55">
        <f t="shared" si="0"/>
        <v>0.1881351921406125</v>
      </c>
      <c r="K15" s="55">
        <f t="shared" si="0"/>
        <v>0.1881351921406125</v>
      </c>
      <c r="L15" s="55">
        <f t="shared" si="0"/>
        <v>0.11549167329652177</v>
      </c>
      <c r="M15" s="55">
        <f t="shared" si="0"/>
        <v>0.11821147726350818</v>
      </c>
      <c r="N15" s="55">
        <f t="shared" si="0"/>
        <v>0.11836427326818444</v>
      </c>
      <c r="O15" s="55">
        <f t="shared" si="0"/>
        <v>0.13820059505121982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MynFI9cDES5vx+2aqx3VtbktnEvWRlIZmJ/QW8jzm/AchEIHzR72iz5ORYrfMXY8/a3sVn1oIMyP+alTYvS2g==" saltValue="T8n6bVqpHCFhHqUEkpct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0.90592820000000007</v>
      </c>
      <c r="D2" s="56">
        <v>0.64176169999999999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2.7448879999999998E-2</v>
      </c>
      <c r="D3" s="56">
        <v>0.1020122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2.3693869999999999E-2</v>
      </c>
      <c r="D4" s="56">
        <v>0.22018969999999999</v>
      </c>
      <c r="E4" s="56">
        <v>0.96538054943084706</v>
      </c>
      <c r="F4" s="56">
        <v>0.717210352420807</v>
      </c>
      <c r="G4" s="56">
        <v>0</v>
      </c>
    </row>
    <row r="5" spans="1:7" x14ac:dyDescent="0.25">
      <c r="B5" s="98" t="s">
        <v>132</v>
      </c>
      <c r="C5" s="55">
        <v>4.2929049999999913E-2</v>
      </c>
      <c r="D5" s="55">
        <v>3.60364000000001E-2</v>
      </c>
      <c r="E5" s="55">
        <v>3.4619450569152971E-2</v>
      </c>
      <c r="F5" s="55">
        <v>0.282789647579193</v>
      </c>
      <c r="G5" s="55">
        <v>1</v>
      </c>
    </row>
  </sheetData>
  <sheetProtection algorithmName="SHA-512" hashValue="PqPj9lWX7l7y6eCAPgPOdl7cOz5Pp6OONnHzoNos/OtUW17CJgLsnP9W8UgNmq5WphDaMenEPYTW73WD9kbGDw==" saltValue="7MTF5rQmS7zzu6rxQZGw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47Yb5mho8xWPtPfcNLkNFeFc10mFWPiOEY0VwhO9MQFWUMjTqYX8RRiB9vAI3XkUN84Q1Ry7KGq74uE/s8Xq7A==" saltValue="V3Bw2MgXSspv8F0Mnx5X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V+RQIrAFbvvMaoFiYge92zBzeTZFVr3Z5gB+KCWlyY4k/LZaq+MKMyaXuFWRhVavPVA+r9h7YPQge8twjf6bfA==" saltValue="/yrPOJ70v/S3MrM1tsWfP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kefMatg9bv6JAdd7XAP44ONXoJ1FMWSJa8nolLnJedqYVxlmxfnrDuNsanV5bSajjO0dNlqCLwq7laAP/E4DYw==" saltValue="BWYva1dStEjTs1Rop6Hc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0Pou92WWoMOPVMk5qoe6qoZfNBxJ0Gp+4YA93VN4xiNrwbhb9zYpMLyjkVEpZ9WFGM6OoiLBwC3qdvmdbOCbjQ==" saltValue="QEfc42xKngY93YQmykJI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2022-02-01T05:10:09Z</dcterms:modified>
</cp:coreProperties>
</file>