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master/data/national/"/>
    </mc:Choice>
  </mc:AlternateContent>
  <xr:revisionPtr revIDLastSave="0" documentId="10_ncr:8100000_{B0F13736-C708-704F-8083-5AD93E37C709}" xr6:coauthVersionLast="33" xr6:coauthVersionMax="33" xr10:uidLastSave="{00000000-0000-0000-0000-000000000000}"/>
  <bookViews>
    <workbookView xWindow="0" yWindow="460" windowWidth="25600" windowHeight="13480" tabRatio="961" firstSheet="6" activeTab="7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7">'Baseline year population inputs'!$C$26</definedName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54" i="56"/>
  <c r="D53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42" i="56" s="1"/>
  <c r="D43" i="56" l="1"/>
  <c r="E2" i="54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52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<sst xmlns="http://schemas.openxmlformats.org/spreadsheetml/2006/main" count="433" uniqueCount="235">
  <si>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</si>
  <si>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</si>
  <si>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</si>
  <si>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</si>
  <si>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</si>
  <si>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</si>
  <si>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</si>
  <si>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</si>
  <si>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</si>
  <si>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</si>
  <si>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</si>
  <si>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</si>
  <si>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</si>
  <si>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</si>
  <si>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</si>
  <si>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</si>
  <si>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</si>
  <si>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</si>
  <si>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</si>
  <si>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</si>
  <si>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</si>
  <si>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</si>
  <si>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</si>
  <si>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</si>
  <si>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</si>
  <si>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</si>
  <si>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</si>
  <si>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</si>
  <si>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</si>
  <si>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</si>
  <si>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</si>
  <si>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</si>
  <si>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</si>
  <si>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</si>
  <si>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</si>
  <si>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</si>
  <si>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</si>
  <si>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</si>
  <si>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</si>
  <si>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</si>
  <si>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</si>
  <si>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</si>
  <si>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</si>
  <si>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</si>
  <si>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</si>
  <si>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</si>
  <si>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</si>
  <si>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</si>
  <si>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</si>
  <si>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</si>
  <si>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</si>
  <si>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</si>
  <si>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</si>
  <si>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</si>
  <si>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</si>
  <si>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</si>
  <si>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</si>
  <si>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</si>
  <si>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</si>
  <si>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</si>
  <si>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</si>
  <si>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</si>
  <si>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</si>
  <si>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</si>
  <si>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</si>
  <si>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</si>
  <si>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</si>
  <si>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</si>
  <si>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</si>
  <si>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</si>
  <si>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</si>
  <si>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</si>
  <si>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</si>
  <si>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</si>
  <si>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</si>
  <si>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</si>
  <si>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</si>
  <si>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</si>
  <si>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</si>
  <si>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</si>
  <si>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</si>
  <si>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</si>
  <si>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</si>
  <si>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</si>
  <si>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</si>
  <si>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</si>
  <si>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</si>
  <si>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</si>
  <si>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</si>
  <si>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</si>
  <si>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</si>
  <si>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</si>
  <si>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</si>
  <si>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</si>
  <si>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</si>
  <si>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</si>
  <si>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</si>
  <si>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</si>
  <si>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</si>
  <si>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</si>
  <si>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</si>
  <si>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</si>
  <si>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</si>
  <si>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</si>
  <si>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</si>
  <si>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</si>
  <si>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</si>
  <si>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</si>
  <si>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</si>
  <si>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</si>
  <si>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</si>
  <si>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</si>
  <si>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</si>
  <si>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</si>
  <si>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</si>
  <si>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</si>
  <si>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</si>
  <si>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</si>
  <si>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</si>
  <si>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</si>
  <si>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</si>
  <si>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</si>
  <si>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</si>
  <si>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</si>
  <si>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</si>
  <si>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</si>
  <si>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</si>
  <si>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</si>
  <si>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</si>
  <si>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</si>
  <si>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</si>
  <si>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</si>
  <si>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</si>
  <si>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</si>
  <si>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</si>
  <si>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</si>
  <si>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</si>
  <si>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</si>
  <si>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</si>
  <si>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</si>
  <si>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</si>
  <si>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</si>
  <si>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</si>
  <si>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</si>
  <si>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</si>
  <si>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</si>
  <si>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</si>
  <si>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</si>
  <si>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</si>
  <si>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</si>
  <si>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</si>
  <si>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</si>
  <si>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</si>
  <si>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</si>
  <si>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</si>
  <si>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</si>
  <si>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</si>
  <si>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</si>
  <si>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</si>
  <si>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</si>
  <si>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</si>
  <si>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</si>
  <si>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</si>
  <si>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</si>
  <si>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</si>
  <si>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</si>
  <si>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</si>
  <si>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</si>
  <si>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</si>
  <si>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</si>
  <si>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</si>
  <si>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</si>
  <si>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</si>
  <si>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</si>
  <si>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</si>
  <si>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</si>
  <si>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</si>
  <si>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</si>
  <si>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</si>
  <si>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</si>
  <si>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</si>
  <si>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</si>
  <si>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</si>
  <si>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</si>
  <si>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</si>
  <si>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</si>
  <si>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</si>
  <si>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</si>
  <si>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</si>
  <si>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</si>
  <si>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</si>
  <si>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</si>
  <si>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</si>
  <si>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</si>
  <si>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</si>
  <si>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</si>
  <si>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</si>
  <si>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</si>
  <si>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</si>
  <si>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</si>
  <si>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</si>
  <si>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</si>
  <si>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</si>
  <si>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</si>
  <si>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</si>
  <si>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</si>
  <si>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</si>
  <si>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</si>
  <si>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</si>
  <si>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</si>
  <si>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</si>
  <si>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</si>
  <si>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</si>
  <si>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</si>
  <si>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</si>
  <si>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</si>
  <si>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</si>
  <si>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</si>
  <si>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</si>
  <si>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</si>
  <si>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</si>
  <si>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</si>
  <si>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</si>
  <si>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</si>
  <si>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</si>
  <si>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Iron fortification of wheat flour</t>
  </si>
  <si>
    <t>Iron fortification of rice</t>
  </si>
  <si>
    <t>Iron fortification of maize</t>
  </si>
  <si>
    <t>unit cost</t>
  </si>
  <si>
    <t>saturation coverage of target population</t>
  </si>
  <si>
    <t>baseline coverage</t>
  </si>
  <si>
    <t>Unit costs by delivery modality and target population</t>
  </si>
  <si>
    <t>Lipid-based nutrition supplements, Lipid-based nutrition supplements (malaria area)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</si>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</sst>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9" fillId="4" borderId="0" xfId="725" applyFont="1" applyFill="1" applyBorder="1" applyAlignment="1"/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7" sqref="C7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130</v>
      </c>
      <c r="B1" s="69" t="s">
        <v>207</v>
      </c>
      <c r="C1" s="69" t="s">
        <v>208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136</v>
      </c>
      <c r="C3" s="27">
        <v>0.36</v>
      </c>
    </row>
    <row r="4" spans="1:3" ht="15" customHeight="1" x14ac:dyDescent="0.15">
      <c r="B4" s="14" t="s">
        <v>137</v>
      </c>
      <c r="C4" s="26">
        <v>0.1</v>
      </c>
    </row>
    <row r="5" spans="1:3" ht="15" customHeight="1" x14ac:dyDescent="0.15">
      <c r="B5" s="14" t="s">
        <v>135</v>
      </c>
      <c r="C5" s="26">
        <v>0.35199999999999998</v>
      </c>
    </row>
    <row r="6" spans="1:3" ht="15" customHeight="1" x14ac:dyDescent="0.15">
      <c r="B6" s="9" t="s">
        <v>138</v>
      </c>
      <c r="C6" s="27">
        <v>0.5</v>
      </c>
    </row>
    <row r="7" spans="1:3" ht="15" customHeight="1" x14ac:dyDescent="0.15">
      <c r="B7" s="9" t="s">
        <v>139</v>
      </c>
      <c r="C7" s="27">
        <v>0.3</v>
      </c>
    </row>
    <row r="8" spans="1:3" ht="15" customHeight="1" x14ac:dyDescent="0.15">
      <c r="B8" s="9" t="s">
        <v>140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124</v>
      </c>
      <c r="C11" s="26">
        <v>0.3</v>
      </c>
    </row>
    <row r="12" spans="1:3" ht="15" customHeight="1" x14ac:dyDescent="0.15">
      <c r="B12" s="14" t="s">
        <v>125</v>
      </c>
      <c r="C12" s="26">
        <v>0.8</v>
      </c>
    </row>
    <row r="13" spans="1:3" ht="15" customHeight="1" x14ac:dyDescent="0.15">
      <c r="B13" s="14" t="s">
        <v>126</v>
      </c>
      <c r="C13" s="26">
        <v>0.12</v>
      </c>
    </row>
    <row r="14" spans="1:3" ht="15" customHeight="1" x14ac:dyDescent="0.15">
      <c r="B14" s="14" t="s">
        <v>127</v>
      </c>
      <c r="C14" s="26">
        <v>0.05</v>
      </c>
    </row>
    <row r="15" spans="1:3" ht="15" customHeight="1" x14ac:dyDescent="0.15">
      <c r="B15" s="14" t="s">
        <v>128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129</v>
      </c>
    </row>
    <row r="18" spans="1:5" ht="15" customHeight="1" x14ac:dyDescent="0.15">
      <c r="B18" s="30" t="s">
        <v>131</v>
      </c>
      <c r="C18" s="26">
        <v>0.29978973218277538</v>
      </c>
    </row>
    <row r="19" spans="1:5" ht="15" customHeight="1" x14ac:dyDescent="0.15">
      <c r="B19" s="30" t="s">
        <v>132</v>
      </c>
      <c r="C19" s="26">
        <v>0.52556568434139284</v>
      </c>
    </row>
    <row r="20" spans="1:5" ht="15" customHeight="1" x14ac:dyDescent="0.15">
      <c r="B20" s="30" t="s">
        <v>133</v>
      </c>
      <c r="C20" s="26">
        <v>0.16210210664201097</v>
      </c>
    </row>
    <row r="21" spans="1:5" ht="15" customHeight="1" x14ac:dyDescent="0.15">
      <c r="B21" s="30" t="s">
        <v>134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176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71" t="s">
        <v>122</v>
      </c>
      <c r="C25" s="28">
        <v>25.4</v>
      </c>
    </row>
    <row r="26" spans="1:5" ht="15" customHeight="1" x14ac:dyDescent="0.15">
      <c r="B26" s="22" t="s">
        <v>121</v>
      </c>
      <c r="C26" s="28">
        <v>34.68</v>
      </c>
      <c r="D26" s="23"/>
      <c r="E26" s="24"/>
    </row>
    <row r="27" spans="1:5" ht="15" customHeight="1" x14ac:dyDescent="0.15">
      <c r="B27" s="22" t="s">
        <v>120</v>
      </c>
      <c r="C27" s="28">
        <v>39.32</v>
      </c>
      <c r="D27" s="23"/>
      <c r="E27" s="23"/>
    </row>
    <row r="28" spans="1:5" ht="15" customHeight="1" x14ac:dyDescent="0.15">
      <c r="B28" s="22" t="s">
        <v>214</v>
      </c>
      <c r="C28" s="28">
        <v>1.76</v>
      </c>
    </row>
    <row r="29" spans="1:5" ht="15" customHeight="1" x14ac:dyDescent="0.15">
      <c r="B29" s="22" t="s">
        <v>119</v>
      </c>
      <c r="C29" s="26">
        <v>0.13</v>
      </c>
    </row>
    <row r="30" spans="1:5" ht="15" customHeight="1" x14ac:dyDescent="0.15">
      <c r="B30" s="71" t="s">
        <v>123</v>
      </c>
      <c r="C30" s="28">
        <v>25.36</v>
      </c>
    </row>
    <row r="31" spans="1:5" ht="15.75" customHeight="1" x14ac:dyDescent="0.15">
      <c r="D31" s="23"/>
    </row>
    <row r="32" spans="1:5" ht="15.75" customHeight="1" x14ac:dyDescent="0.15">
      <c r="A32" s="18" t="s">
        <v>172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161</v>
      </c>
      <c r="C39" s="7">
        <v>2.4300000000000002</v>
      </c>
      <c r="D39" s="23"/>
    </row>
    <row r="40" spans="1:5" ht="15" customHeight="1" x14ac:dyDescent="0.15">
      <c r="B40" s="22" t="s">
        <v>162</v>
      </c>
      <c r="C40" s="7">
        <v>2.4300000000000002</v>
      </c>
    </row>
    <row r="41" spans="1:5" ht="15.75" customHeight="1" x14ac:dyDescent="0.15">
      <c r="B41" s="22" t="s">
        <v>163</v>
      </c>
      <c r="C41" s="7">
        <v>3.71</v>
      </c>
    </row>
    <row r="42" spans="1:5" ht="15.75" customHeight="1" x14ac:dyDescent="0.15">
      <c r="B42" s="22" t="s">
        <v>164</v>
      </c>
      <c r="C42" s="7">
        <v>3</v>
      </c>
    </row>
    <row r="43" spans="1:5" ht="15.75" customHeight="1" x14ac:dyDescent="0.15">
      <c r="B43" s="22" t="s">
        <v>165</v>
      </c>
      <c r="C43" s="7">
        <v>1.92</v>
      </c>
    </row>
    <row r="45" spans="1:5" ht="15.75" customHeight="1" x14ac:dyDescent="0.15">
      <c r="A45" s="18" t="s">
        <v>173</v>
      </c>
    </row>
    <row r="46" spans="1:5" ht="15.75" customHeight="1" x14ac:dyDescent="0.15">
      <c r="B46" s="9" t="s">
        <v>141</v>
      </c>
      <c r="C46" s="27">
        <v>0.2</v>
      </c>
    </row>
    <row r="47" spans="1:5" ht="15.75" customHeight="1" x14ac:dyDescent="0.15">
      <c r="B47" s="22" t="s">
        <v>170</v>
      </c>
      <c r="C47" s="27">
        <v>0.42</v>
      </c>
    </row>
    <row r="48" spans="1:5" ht="15.75" customHeight="1" x14ac:dyDescent="0.15">
      <c r="B48" s="22" t="s">
        <v>174</v>
      </c>
      <c r="C48" s="27">
        <v>0.9</v>
      </c>
    </row>
    <row r="49" spans="1:3" ht="15.75" customHeight="1" x14ac:dyDescent="0.15">
      <c r="B49" s="22" t="s">
        <v>175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7" customWidth="1"/>
    <col min="2" max="16384" width="10.83203125" style="97"/>
  </cols>
  <sheetData>
    <row r="1" spans="1:5" ht="40" x14ac:dyDescent="0.2">
      <c r="A1" s="102" t="s">
        <v>231</v>
      </c>
      <c r="B1" s="101" t="s">
        <v>223</v>
      </c>
      <c r="C1" s="101" t="s">
        <v>222</v>
      </c>
      <c r="D1" s="101" t="s">
        <v>221</v>
      </c>
      <c r="E1" s="101" t="s">
        <v>220</v>
      </c>
    </row>
    <row r="2" spans="1:5" x14ac:dyDescent="0.2">
      <c r="A2" s="100" t="s">
        <v>207</v>
      </c>
      <c r="B2" s="99" t="s">
        <v>32</v>
      </c>
      <c r="C2" s="88">
        <f>1.5*0.61</f>
        <v>0.91500000000000004</v>
      </c>
      <c r="D2" s="88">
        <f>0.5*0.61</f>
        <v>0.30499999999999999</v>
      </c>
      <c r="E2" s="88">
        <v>0.05</v>
      </c>
    </row>
    <row r="3" spans="1:5" x14ac:dyDescent="0.2">
      <c r="A3" s="99"/>
      <c r="B3" s="99" t="s">
        <v>1</v>
      </c>
      <c r="C3" s="88">
        <f>1.5*0.61</f>
        <v>0.91500000000000004</v>
      </c>
      <c r="D3" s="88">
        <f>0.5*0.61</f>
        <v>0.30499999999999999</v>
      </c>
      <c r="E3" s="88">
        <v>0.05</v>
      </c>
    </row>
    <row r="4" spans="1:5" x14ac:dyDescent="0.2">
      <c r="A4" s="99"/>
      <c r="B4" s="99" t="s">
        <v>2</v>
      </c>
      <c r="C4" s="88">
        <f>1.5*0.61</f>
        <v>0.91500000000000004</v>
      </c>
      <c r="D4" s="88">
        <f>0.5*0.61</f>
        <v>0.30499999999999999</v>
      </c>
      <c r="E4" s="88">
        <v>0.05</v>
      </c>
    </row>
    <row r="5" spans="1:5" x14ac:dyDescent="0.2">
      <c r="A5" s="99"/>
      <c r="B5" s="99" t="s">
        <v>3</v>
      </c>
      <c r="C5" s="88">
        <f>1.5*0.61</f>
        <v>0.91500000000000004</v>
      </c>
      <c r="D5" s="88">
        <f>0.5*0.61</f>
        <v>0.30499999999999999</v>
      </c>
      <c r="E5" s="88">
        <v>0.05</v>
      </c>
    </row>
    <row r="6" spans="1:5" x14ac:dyDescent="0.2">
      <c r="A6" s="99"/>
      <c r="B6" s="99" t="s">
        <v>4</v>
      </c>
      <c r="C6" s="88">
        <f>1.5*0.61</f>
        <v>0.91500000000000004</v>
      </c>
      <c r="D6" s="88">
        <f>0.5*0.61</f>
        <v>0.30499999999999999</v>
      </c>
      <c r="E6" s="88">
        <v>0.05</v>
      </c>
    </row>
    <row r="9" spans="1:5" x14ac:dyDescent="0.2">
      <c r="C9" s="9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43"/>
  <sheetViews>
    <sheetView workbookViewId="0">
      <selection activeCell="B29" sqref="B29"/>
    </sheetView>
  </sheetViews>
  <sheetFormatPr baseColWidth="10" defaultColWidth="11.5" defaultRowHeight="13" x14ac:dyDescent="0.15"/>
  <cols>
    <col min="1" max="1" width="53" style="85" bestFit="1" customWidth="1"/>
    <col min="2" max="2" width="86" style="63" bestFit="1" customWidth="1"/>
    <col min="3" max="3" width="42.5" style="63" customWidth="1"/>
    <col min="4" max="16384" width="11.5" style="63"/>
  </cols>
  <sheetData>
    <row r="1" spans="1:3" x14ac:dyDescent="0.15">
      <c r="A1" s="68" t="s">
        <v>88</v>
      </c>
      <c r="B1" s="68" t="s">
        <v>234</v>
      </c>
      <c r="C1" s="68" t="s">
        <v>233</v>
      </c>
    </row>
    <row r="2" spans="1:3" x14ac:dyDescent="0.15">
      <c r="A2" s="85" t="s">
        <v>29</v>
      </c>
      <c r="B2" s="79"/>
      <c r="C2" s="79"/>
    </row>
    <row r="3" spans="1:3" x14ac:dyDescent="0.15">
      <c r="A3" s="85" t="s">
        <v>78</v>
      </c>
      <c r="B3" s="79"/>
      <c r="C3" s="79"/>
    </row>
    <row r="4" spans="1:3" x14ac:dyDescent="0.15">
      <c r="A4" s="85" t="s">
        <v>86</v>
      </c>
      <c r="B4" s="79"/>
      <c r="C4" s="79"/>
    </row>
    <row r="5" spans="1:3" x14ac:dyDescent="0.15">
      <c r="A5" s="85" t="s">
        <v>80</v>
      </c>
      <c r="B5" s="79"/>
      <c r="C5" s="79"/>
    </row>
    <row r="6" spans="1:3" x14ac:dyDescent="0.15">
      <c r="A6" s="85" t="s">
        <v>81</v>
      </c>
      <c r="B6" s="79"/>
      <c r="C6" s="79"/>
    </row>
    <row r="7" spans="1:3" x14ac:dyDescent="0.15">
      <c r="A7" s="85" t="s">
        <v>79</v>
      </c>
      <c r="B7" s="79"/>
      <c r="C7" s="79"/>
    </row>
    <row r="8" spans="1:3" x14ac:dyDescent="0.15">
      <c r="A8" s="85" t="s">
        <v>63</v>
      </c>
      <c r="B8" s="79"/>
      <c r="C8" s="79"/>
    </row>
    <row r="9" spans="1:3" x14ac:dyDescent="0.15">
      <c r="A9" s="85" t="s">
        <v>71</v>
      </c>
      <c r="B9" s="79"/>
      <c r="C9" s="79" t="s">
        <v>35</v>
      </c>
    </row>
    <row r="10" spans="1:3" x14ac:dyDescent="0.15">
      <c r="A10" s="85" t="s">
        <v>64</v>
      </c>
      <c r="B10" s="79"/>
      <c r="C10" s="79"/>
    </row>
    <row r="11" spans="1:3" x14ac:dyDescent="0.15">
      <c r="A11" s="85" t="s">
        <v>72</v>
      </c>
      <c r="B11" s="79"/>
      <c r="C11" s="79" t="s">
        <v>35</v>
      </c>
    </row>
    <row r="12" spans="1:3" x14ac:dyDescent="0.15">
      <c r="A12" s="85" t="s">
        <v>65</v>
      </c>
      <c r="B12" s="79"/>
      <c r="C12" s="79"/>
    </row>
    <row r="13" spans="1:3" x14ac:dyDescent="0.15">
      <c r="A13" s="85" t="s">
        <v>73</v>
      </c>
      <c r="B13" s="79"/>
      <c r="C13" s="79" t="s">
        <v>35</v>
      </c>
    </row>
    <row r="14" spans="1:3" x14ac:dyDescent="0.15">
      <c r="A14" s="85" t="s">
        <v>62</v>
      </c>
      <c r="B14" s="79"/>
      <c r="C14" s="79"/>
    </row>
    <row r="15" spans="1:3" x14ac:dyDescent="0.15">
      <c r="A15" s="85" t="s">
        <v>70</v>
      </c>
      <c r="B15" s="79"/>
      <c r="C15" s="79" t="s">
        <v>35</v>
      </c>
    </row>
    <row r="16" spans="1:3" x14ac:dyDescent="0.15">
      <c r="A16" s="85" t="s">
        <v>60</v>
      </c>
      <c r="B16" s="79"/>
      <c r="C16" s="79"/>
    </row>
    <row r="17" spans="1:3" x14ac:dyDescent="0.15">
      <c r="A17" s="85" t="s">
        <v>68</v>
      </c>
      <c r="B17" s="79"/>
      <c r="C17" s="79" t="s">
        <v>35</v>
      </c>
    </row>
    <row r="18" spans="1:3" x14ac:dyDescent="0.15">
      <c r="A18" s="85" t="s">
        <v>61</v>
      </c>
      <c r="B18" s="79"/>
      <c r="C18" s="79"/>
    </row>
    <row r="19" spans="1:3" x14ac:dyDescent="0.15">
      <c r="A19" s="85" t="s">
        <v>69</v>
      </c>
      <c r="B19" s="79"/>
      <c r="C19" s="79" t="s">
        <v>35</v>
      </c>
    </row>
    <row r="20" spans="1:3" x14ac:dyDescent="0.15">
      <c r="A20" s="85" t="s">
        <v>59</v>
      </c>
      <c r="B20" s="79"/>
      <c r="C20" s="79"/>
    </row>
    <row r="21" spans="1:3" x14ac:dyDescent="0.15">
      <c r="A21" s="85" t="s">
        <v>67</v>
      </c>
      <c r="B21" s="79"/>
      <c r="C21" s="79" t="s">
        <v>35</v>
      </c>
    </row>
    <row r="22" spans="1:3" x14ac:dyDescent="0.15">
      <c r="A22" s="85" t="s">
        <v>58</v>
      </c>
      <c r="B22" s="79"/>
      <c r="C22" s="79"/>
    </row>
    <row r="23" spans="1:3" x14ac:dyDescent="0.15">
      <c r="A23" s="85" t="s">
        <v>34</v>
      </c>
      <c r="B23" s="79" t="s">
        <v>74</v>
      </c>
      <c r="C23" s="79"/>
    </row>
    <row r="24" spans="1:3" x14ac:dyDescent="0.15">
      <c r="A24" s="85" t="s">
        <v>76</v>
      </c>
      <c r="B24" s="79" t="s">
        <v>75</v>
      </c>
      <c r="C24" s="79" t="s">
        <v>58</v>
      </c>
    </row>
    <row r="25" spans="1:3" x14ac:dyDescent="0.15">
      <c r="A25" s="85" t="s">
        <v>48</v>
      </c>
      <c r="B25" s="79"/>
      <c r="C25" s="79"/>
    </row>
    <row r="26" spans="1:3" x14ac:dyDescent="0.15">
      <c r="A26" s="85" t="s">
        <v>227</v>
      </c>
      <c r="B26" s="79" t="s">
        <v>80</v>
      </c>
      <c r="C26" s="79"/>
    </row>
    <row r="27" spans="1:3" x14ac:dyDescent="0.15">
      <c r="A27" s="85" t="s">
        <v>226</v>
      </c>
      <c r="B27" s="79" t="s">
        <v>81</v>
      </c>
      <c r="C27" s="79"/>
    </row>
    <row r="28" spans="1:3" x14ac:dyDescent="0.15">
      <c r="A28" s="85" t="s">
        <v>225</v>
      </c>
      <c r="B28" s="79" t="s">
        <v>79</v>
      </c>
      <c r="C28" s="79"/>
    </row>
    <row r="29" spans="1:3" x14ac:dyDescent="0.15">
      <c r="A29" s="85" t="s">
        <v>35</v>
      </c>
      <c r="B29" s="79"/>
      <c r="C29" s="79"/>
    </row>
    <row r="30" spans="1:3" x14ac:dyDescent="0.15">
      <c r="A30" s="85" t="s">
        <v>74</v>
      </c>
      <c r="B30" s="79"/>
      <c r="C30" s="79"/>
    </row>
    <row r="31" spans="1:3" x14ac:dyDescent="0.15">
      <c r="A31" s="85" t="s">
        <v>75</v>
      </c>
      <c r="B31" s="79"/>
      <c r="C31" s="79" t="s">
        <v>58</v>
      </c>
    </row>
    <row r="32" spans="1:3" x14ac:dyDescent="0.15">
      <c r="A32" s="85" t="s">
        <v>66</v>
      </c>
      <c r="B32" s="79" t="s">
        <v>232</v>
      </c>
      <c r="C32" s="79"/>
    </row>
    <row r="33" spans="1:3" x14ac:dyDescent="0.15">
      <c r="A33" s="85" t="s">
        <v>177</v>
      </c>
      <c r="B33" s="79"/>
      <c r="C33" s="79"/>
    </row>
    <row r="34" spans="1:3" x14ac:dyDescent="0.15">
      <c r="A34" s="85" t="s">
        <v>178</v>
      </c>
      <c r="B34" s="79"/>
      <c r="C34" s="79" t="s">
        <v>35</v>
      </c>
    </row>
    <row r="35" spans="1:3" x14ac:dyDescent="0.15">
      <c r="A35" s="85" t="s">
        <v>179</v>
      </c>
      <c r="B35" s="79" t="s">
        <v>177</v>
      </c>
      <c r="C35" s="79"/>
    </row>
    <row r="36" spans="1:3" x14ac:dyDescent="0.15">
      <c r="A36" s="85" t="s">
        <v>180</v>
      </c>
      <c r="B36" s="79" t="s">
        <v>178</v>
      </c>
      <c r="C36" s="79" t="s">
        <v>35</v>
      </c>
    </row>
    <row r="37" spans="1:3" x14ac:dyDescent="0.15">
      <c r="A37" s="85" t="s">
        <v>84</v>
      </c>
      <c r="B37" s="79"/>
      <c r="C37" s="79"/>
    </row>
    <row r="38" spans="1:3" x14ac:dyDescent="0.15">
      <c r="A38" s="85" t="s">
        <v>85</v>
      </c>
      <c r="B38" s="79"/>
      <c r="C38" s="79"/>
    </row>
    <row r="39" spans="1:3" x14ac:dyDescent="0.15">
      <c r="A39" s="85" t="s">
        <v>28</v>
      </c>
      <c r="B39" s="79"/>
      <c r="C39" s="79"/>
    </row>
    <row r="40" spans="1:3" x14ac:dyDescent="0.15">
      <c r="A40" s="85" t="s">
        <v>77</v>
      </c>
      <c r="B40" s="79"/>
      <c r="C40" s="79"/>
    </row>
    <row r="41" spans="1:3" x14ac:dyDescent="0.15">
      <c r="A41" s="85" t="s">
        <v>219</v>
      </c>
      <c r="B41" s="79"/>
      <c r="C41" s="79"/>
    </row>
    <row r="42" spans="1:3" x14ac:dyDescent="0.15">
      <c r="A42" s="85" t="s">
        <v>218</v>
      </c>
      <c r="B42" s="79"/>
      <c r="C42" s="79"/>
    </row>
    <row r="43" spans="1:3" x14ac:dyDescent="0.15">
      <c r="A43" s="85" t="s">
        <v>216</v>
      </c>
      <c r="B43" s="79"/>
      <c r="C43" s="7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63" customWidth="1"/>
    <col min="2" max="16384" width="11.5" style="63"/>
  </cols>
  <sheetData>
    <row r="1" spans="1:1" x14ac:dyDescent="0.15">
      <c r="A1" s="68" t="s">
        <v>88</v>
      </c>
    </row>
    <row r="2" spans="1:1" x14ac:dyDescent="0.15">
      <c r="A2" s="79" t="s">
        <v>86</v>
      </c>
    </row>
    <row r="3" spans="1:1" x14ac:dyDescent="0.15">
      <c r="A3" s="79" t="s">
        <v>58</v>
      </c>
    </row>
    <row r="4" spans="1:1" x14ac:dyDescent="0.15">
      <c r="A4" s="79" t="s">
        <v>35</v>
      </c>
    </row>
    <row r="5" spans="1:1" x14ac:dyDescent="0.15">
      <c r="A5" s="79" t="s">
        <v>112</v>
      </c>
    </row>
    <row r="6" spans="1:1" x14ac:dyDescent="0.15">
      <c r="A6" s="79" t="s">
        <v>111</v>
      </c>
    </row>
    <row r="7" spans="1:1" x14ac:dyDescent="0.15">
      <c r="A7" s="79" t="s">
        <v>110</v>
      </c>
    </row>
    <row r="8" spans="1:1" x14ac:dyDescent="0.15">
      <c r="A8" s="79" t="s">
        <v>108</v>
      </c>
    </row>
    <row r="9" spans="1:1" x14ac:dyDescent="0.15">
      <c r="A9" s="79" t="s">
        <v>109</v>
      </c>
    </row>
    <row r="10" spans="1:1" x14ac:dyDescent="0.15">
      <c r="A10" s="79"/>
    </row>
    <row r="11" spans="1:1" x14ac:dyDescent="0.15">
      <c r="A11" s="79"/>
    </row>
    <row r="12" spans="1:1" x14ac:dyDescent="0.15">
      <c r="A12" s="79"/>
    </row>
    <row r="13" spans="1:1" x14ac:dyDescent="0.15">
      <c r="A13" s="79"/>
    </row>
    <row r="14" spans="1:1" x14ac:dyDescent="0.15">
      <c r="A14" s="79"/>
    </row>
    <row r="15" spans="1:1" x14ac:dyDescent="0.15">
      <c r="A15" s="79"/>
    </row>
    <row r="16" spans="1:1" x14ac:dyDescent="0.15">
      <c r="A16" s="79"/>
    </row>
    <row r="17" spans="1:1" x14ac:dyDescent="0.15">
      <c r="A17" s="79"/>
    </row>
    <row r="18" spans="1:1" x14ac:dyDescent="0.15">
      <c r="A18" s="79"/>
    </row>
    <row r="19" spans="1:1" x14ac:dyDescent="0.15">
      <c r="A19" s="7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53"/>
  <sheetViews>
    <sheetView zoomScale="85" zoomScaleNormal="118" workbookViewId="0">
      <selection activeCell="A36" sqref="A3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59">
        <f>food_insecure</f>
        <v>0.36</v>
      </c>
      <c r="F4" s="59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177</v>
      </c>
      <c r="C5" s="2">
        <v>0</v>
      </c>
      <c r="D5" s="2">
        <v>0</v>
      </c>
      <c r="E5" s="59">
        <f>food_insecure*(1-frac_malaria_risk)</f>
        <v>0.32400000000000001</v>
      </c>
      <c r="F5" s="59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178</v>
      </c>
      <c r="C6" s="2">
        <v>0</v>
      </c>
      <c r="D6" s="2">
        <v>0</v>
      </c>
      <c r="E6" s="59">
        <f>food_insecure*frac_malaria_risk</f>
        <v>3.5999999999999997E-2</v>
      </c>
      <c r="F6" s="59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179</v>
      </c>
      <c r="C7" s="2">
        <v>0</v>
      </c>
      <c r="D7" s="2">
        <v>0</v>
      </c>
      <c r="E7" s="59">
        <f>(1-frac_malaria_risk)</f>
        <v>0.9</v>
      </c>
      <c r="F7" s="59">
        <f>(1-frac_malaria_risk)</f>
        <v>0.9</v>
      </c>
      <c r="G7" s="59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180</v>
      </c>
      <c r="C8" s="2">
        <v>0</v>
      </c>
      <c r="D8" s="2">
        <v>0</v>
      </c>
      <c r="E8" s="59">
        <f>frac_malaria_risk</f>
        <v>0.1</v>
      </c>
      <c r="F8" s="59">
        <f>frac_malaria_risk</f>
        <v>0.1</v>
      </c>
      <c r="G8" s="59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59">
        <f>food_insecure</f>
        <v>0.36</v>
      </c>
      <c r="E9" s="59">
        <f>food_insecure</f>
        <v>0.36</v>
      </c>
      <c r="F9" s="59">
        <f>food_insecure</f>
        <v>0.36</v>
      </c>
      <c r="G9" s="59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192</v>
      </c>
      <c r="C12" s="62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f>food_insecure</f>
        <v>0.36</v>
      </c>
      <c r="I14" s="59">
        <f>food_insecure</f>
        <v>0.36</v>
      </c>
      <c r="J14" s="59">
        <f>food_insecure</f>
        <v>0.36</v>
      </c>
      <c r="K14" s="59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0">
        <f>1-frac_malaria_risk</f>
        <v>0.9</v>
      </c>
      <c r="I15" s="60">
        <f>1-frac_malaria_risk</f>
        <v>0.9</v>
      </c>
      <c r="J15" s="60">
        <f>1-frac_malaria_risk</f>
        <v>0.9</v>
      </c>
      <c r="K15" s="60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59">
        <f>frac_malaria_risk</f>
        <v>0.1</v>
      </c>
      <c r="I16" s="59">
        <f>frac_malaria_risk</f>
        <v>0.1</v>
      </c>
      <c r="J16" s="59">
        <f>frac_malaria_risk</f>
        <v>0.1</v>
      </c>
      <c r="K16" s="59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0">
        <f xml:space="preserve"> 1-frac_malaria_risk</f>
        <v>0.9</v>
      </c>
      <c r="I17" s="60">
        <f xml:space="preserve"> 1-frac_malaria_risk</f>
        <v>0.9</v>
      </c>
      <c r="J17" s="60">
        <f xml:space="preserve"> 1-frac_malaria_risk</f>
        <v>0.9</v>
      </c>
      <c r="K17" s="60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0">
        <f t="shared" ref="H18:K19" si="0">frac_malaria_risk</f>
        <v>0.1</v>
      </c>
      <c r="I18" s="60">
        <f t="shared" si="0"/>
        <v>0.1</v>
      </c>
      <c r="J18" s="60">
        <f t="shared" si="0"/>
        <v>0.1</v>
      </c>
      <c r="K18" s="60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0">
        <f t="shared" si="0"/>
        <v>0.1</v>
      </c>
      <c r="I19" s="60">
        <f t="shared" si="0"/>
        <v>0.1</v>
      </c>
      <c r="J19" s="60">
        <f t="shared" si="0"/>
        <v>0.1</v>
      </c>
      <c r="K19" s="60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59">
        <f>food_insecure*(1-frac_malaria_risk)*1*school_attendance</f>
        <v>0.114048</v>
      </c>
      <c r="M21" s="59">
        <v>0</v>
      </c>
      <c r="N21" s="59">
        <v>0</v>
      </c>
      <c r="O21" s="59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59">
        <f>food_insecure*(1-frac_malaria_risk)*(0.7)*(1-school_attendance)</f>
        <v>0.1469664</v>
      </c>
      <c r="M22" s="59">
        <f>food_insecure*(1-frac_malaria_risk)*(0.7)</f>
        <v>0.2268</v>
      </c>
      <c r="N22" s="59">
        <f>food_insecure*(1-frac_malaria_risk)*(0.7)</f>
        <v>0.2268</v>
      </c>
      <c r="O22" s="59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59">
        <f>food_insecure*(1-frac_malaria_risk)*(0.3)*(1-school_attendance)</f>
        <v>6.2985600000000003E-2</v>
      </c>
      <c r="M23" s="59">
        <f>food_insecure*(1-frac_malaria_risk)*(0.3)</f>
        <v>9.7199999999999995E-2</v>
      </c>
      <c r="N23" s="59">
        <f>food_insecure*(1-frac_malaria_risk)*(0.3)</f>
        <v>9.7199999999999995E-2</v>
      </c>
      <c r="O23" s="59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59">
        <f>(1-food_insecure)*(1-frac_malaria_risk)*1*school_attendance</f>
        <v>0.20275200000000002</v>
      </c>
      <c r="M24" s="59">
        <v>0</v>
      </c>
      <c r="N24" s="59">
        <v>0</v>
      </c>
      <c r="O24" s="59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59">
        <f>(1-food_insecure)*(1-frac_malaria_risk)*(0.49)*(1-school_attendance)</f>
        <v>0.18289152000000003</v>
      </c>
      <c r="M25" s="59">
        <f>(1-food_insecure)*(1-frac_malaria_risk)*(0.49)</f>
        <v>0.28224000000000005</v>
      </c>
      <c r="N25" s="59">
        <f>(1-food_insecure)*(1-frac_malaria_risk)*(0.49)</f>
        <v>0.28224000000000005</v>
      </c>
      <c r="O25" s="59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59">
        <f>(1-food_insecure)*(1-frac_malaria_risk)*(0.21)*(1-school_attendance)</f>
        <v>7.8382080000000007E-2</v>
      </c>
      <c r="M26" s="59">
        <f>(1-food_insecure)*(1-frac_malaria_risk)*(0.21)</f>
        <v>0.12096000000000001</v>
      </c>
      <c r="N26" s="59">
        <f>(1-food_insecure)*(1-frac_malaria_risk)*(0.21)</f>
        <v>0.12096000000000001</v>
      </c>
      <c r="O26" s="59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59">
        <f>(1-food_insecure)*(1-frac_malaria_risk)*(0.3)*(1-school_attendance)</f>
        <v>0.11197440000000002</v>
      </c>
      <c r="M27" s="59">
        <f>(1-food_insecure)*(1-frac_malaria_risk)*(0.3)</f>
        <v>0.17280000000000001</v>
      </c>
      <c r="N27" s="59">
        <f>(1-food_insecure)*(1-frac_malaria_risk)*(0.3)</f>
        <v>0.17280000000000001</v>
      </c>
      <c r="O27" s="59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59">
        <f>food_insecure*(frac_malaria_risk)*1*school_attendance</f>
        <v>1.2671999999999998E-2</v>
      </c>
      <c r="M28" s="59">
        <v>0</v>
      </c>
      <c r="N28" s="59">
        <v>0</v>
      </c>
      <c r="O28" s="59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59">
        <f>food_insecure*(frac_malaria_risk)*(0.7)*(1-school_attendance)</f>
        <v>1.63296E-2</v>
      </c>
      <c r="M29" s="59">
        <f>food_insecure*(frac_malaria_risk)*(0.7)</f>
        <v>2.5199999999999997E-2</v>
      </c>
      <c r="N29" s="59">
        <f>food_insecure*(frac_malaria_risk)*(0.7)</f>
        <v>2.5199999999999997E-2</v>
      </c>
      <c r="O29" s="59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59">
        <f>food_insecure*(frac_malaria_risk)*(0.3)*(1-school_attendance)</f>
        <v>6.9983999999999992E-3</v>
      </c>
      <c r="M30" s="59">
        <f>food_insecure*(1-frac_malaria_risk)*(0.3)</f>
        <v>9.7199999999999995E-2</v>
      </c>
      <c r="N30" s="59">
        <f>food_insecure*(1-frac_malaria_risk)*(0.3)</f>
        <v>9.7199999999999995E-2</v>
      </c>
      <c r="O30" s="59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59">
        <f>(1-food_insecure)*(frac_malaria_risk)*1*school_attendance</f>
        <v>2.2527999999999999E-2</v>
      </c>
      <c r="M31" s="59">
        <v>0</v>
      </c>
      <c r="N31" s="59">
        <v>0</v>
      </c>
      <c r="O31" s="59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59">
        <f>(1-food_insecure)*(frac_malaria_risk)*(0.49)*(1-school_attendance)</f>
        <v>2.0321280000000001E-2</v>
      </c>
      <c r="M32" s="59">
        <f>(1-food_insecure)*(frac_malaria_risk)*(0.49)</f>
        <v>3.1359999999999999E-2</v>
      </c>
      <c r="N32" s="59">
        <f>(1-food_insecure)*(frac_malaria_risk)*(0.49)</f>
        <v>3.1359999999999999E-2</v>
      </c>
      <c r="O32" s="59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59">
        <f>(1-food_insecure)*(frac_malaria_risk)*(0.21)*(1-school_attendance)</f>
        <v>8.7091200000000007E-3</v>
      </c>
      <c r="M33" s="59">
        <f>(1-food_insecure)*(frac_malaria_risk)*(0.21)</f>
        <v>1.3440000000000001E-2</v>
      </c>
      <c r="N33" s="59">
        <f>(1-food_insecure)*(frac_malaria_risk)*(0.21)</f>
        <v>1.3440000000000001E-2</v>
      </c>
      <c r="O33" s="59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59">
        <f>(1-food_insecure)*(frac_malaria_risk)*(0.3)*(1-school_attendance)</f>
        <v>1.2441599999999999E-2</v>
      </c>
      <c r="M34" s="59">
        <f>(1-food_insecure)*(frac_malaria_risk)*(0.3)</f>
        <v>1.9199999999999998E-2</v>
      </c>
      <c r="N34" s="59">
        <f>(1-food_insecure)*(frac_malaria_risk)*(0.3)</f>
        <v>1.9199999999999998E-2</v>
      </c>
      <c r="O34" s="59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59">
        <v>1</v>
      </c>
      <c r="M35" s="59">
        <v>1</v>
      </c>
      <c r="N35" s="59">
        <v>1</v>
      </c>
      <c r="O35" s="59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0">
        <f t="shared" ref="C48:O48" si="1">frac_malaria_risk</f>
        <v>0.1</v>
      </c>
      <c r="D48" s="60">
        <f t="shared" si="1"/>
        <v>0.1</v>
      </c>
      <c r="E48" s="60">
        <f t="shared" si="1"/>
        <v>0.1</v>
      </c>
      <c r="F48" s="60">
        <f t="shared" si="1"/>
        <v>0.1</v>
      </c>
      <c r="G48" s="60">
        <f t="shared" si="1"/>
        <v>0.1</v>
      </c>
      <c r="H48" s="60">
        <f t="shared" si="1"/>
        <v>0.1</v>
      </c>
      <c r="I48" s="60">
        <f t="shared" si="1"/>
        <v>0.1</v>
      </c>
      <c r="J48" s="60">
        <f t="shared" si="1"/>
        <v>0.1</v>
      </c>
      <c r="K48" s="60">
        <f t="shared" si="1"/>
        <v>0.1</v>
      </c>
      <c r="L48" s="60">
        <f t="shared" si="1"/>
        <v>0.1</v>
      </c>
      <c r="M48" s="60">
        <f t="shared" si="1"/>
        <v>0.1</v>
      </c>
      <c r="N48" s="60">
        <f t="shared" si="1"/>
        <v>0.1</v>
      </c>
      <c r="O48" s="60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0">
        <f t="shared" ref="E49:O49" si="2">frac_wheat</f>
        <v>0.12</v>
      </c>
      <c r="F49" s="60">
        <f t="shared" si="2"/>
        <v>0.12</v>
      </c>
      <c r="G49" s="60">
        <f t="shared" si="2"/>
        <v>0.12</v>
      </c>
      <c r="H49" s="60">
        <f t="shared" si="2"/>
        <v>0.12</v>
      </c>
      <c r="I49" s="60">
        <f t="shared" si="2"/>
        <v>0.12</v>
      </c>
      <c r="J49" s="60">
        <f t="shared" si="2"/>
        <v>0.12</v>
      </c>
      <c r="K49" s="60">
        <f t="shared" si="2"/>
        <v>0.12</v>
      </c>
      <c r="L49" s="60">
        <f t="shared" si="2"/>
        <v>0.12</v>
      </c>
      <c r="M49" s="60">
        <f t="shared" si="2"/>
        <v>0.12</v>
      </c>
      <c r="N49" s="60">
        <f t="shared" si="2"/>
        <v>0.12</v>
      </c>
      <c r="O49" s="60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0">
        <f t="shared" ref="E50:O50" si="3">frac_maize</f>
        <v>0.05</v>
      </c>
      <c r="F50" s="60">
        <f t="shared" si="3"/>
        <v>0.05</v>
      </c>
      <c r="G50" s="60">
        <f t="shared" si="3"/>
        <v>0.05</v>
      </c>
      <c r="H50" s="60">
        <f t="shared" si="3"/>
        <v>0.05</v>
      </c>
      <c r="I50" s="60">
        <f t="shared" si="3"/>
        <v>0.05</v>
      </c>
      <c r="J50" s="60">
        <f t="shared" si="3"/>
        <v>0.05</v>
      </c>
      <c r="K50" s="60">
        <f t="shared" si="3"/>
        <v>0.05</v>
      </c>
      <c r="L50" s="60">
        <f t="shared" si="3"/>
        <v>0.05</v>
      </c>
      <c r="M50" s="60">
        <f t="shared" si="3"/>
        <v>0.05</v>
      </c>
      <c r="N50" s="60">
        <f t="shared" si="3"/>
        <v>0.05</v>
      </c>
      <c r="O50" s="60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0">
        <f t="shared" ref="E51:O51" si="4">frac_rice</f>
        <v>0.8</v>
      </c>
      <c r="F51" s="60">
        <f t="shared" si="4"/>
        <v>0.8</v>
      </c>
      <c r="G51" s="60">
        <f t="shared" si="4"/>
        <v>0.8</v>
      </c>
      <c r="H51" s="60">
        <f t="shared" si="4"/>
        <v>0.8</v>
      </c>
      <c r="I51" s="60">
        <f t="shared" si="4"/>
        <v>0.8</v>
      </c>
      <c r="J51" s="60">
        <f t="shared" si="4"/>
        <v>0.8</v>
      </c>
      <c r="K51" s="60">
        <f t="shared" si="4"/>
        <v>0.8</v>
      </c>
      <c r="L51" s="60">
        <f t="shared" si="4"/>
        <v>0.8</v>
      </c>
      <c r="M51" s="60">
        <f t="shared" si="4"/>
        <v>0.8</v>
      </c>
      <c r="N51" s="60">
        <f t="shared" si="4"/>
        <v>0.8</v>
      </c>
      <c r="O51" s="60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3" customWidth="1"/>
    <col min="2" max="2" width="12.5" style="63" customWidth="1"/>
    <col min="3" max="4" width="11.5" style="63"/>
    <col min="5" max="5" width="17.5" style="63" customWidth="1"/>
    <col min="6" max="16384" width="11.5" style="63"/>
  </cols>
  <sheetData>
    <row r="1" spans="1:5" x14ac:dyDescent="0.15">
      <c r="A1" s="68" t="s">
        <v>206</v>
      </c>
      <c r="B1" s="68" t="s">
        <v>205</v>
      </c>
      <c r="C1" s="68" t="s">
        <v>204</v>
      </c>
      <c r="D1" s="68" t="s">
        <v>203</v>
      </c>
      <c r="E1" s="68" t="s">
        <v>202</v>
      </c>
    </row>
    <row r="2" spans="1:5" ht="14" x14ac:dyDescent="0.15">
      <c r="A2" s="67" t="s">
        <v>201</v>
      </c>
      <c r="B2" s="66">
        <v>0.9</v>
      </c>
      <c r="C2" s="65">
        <v>0.09</v>
      </c>
      <c r="D2" s="63">
        <v>0.8</v>
      </c>
      <c r="E2" s="63">
        <f t="shared" ref="E2:E10" si="0">C2*D2</f>
        <v>7.1999999999999995E-2</v>
      </c>
    </row>
    <row r="3" spans="1:5" ht="14" x14ac:dyDescent="0.15">
      <c r="A3" s="67" t="s">
        <v>200</v>
      </c>
      <c r="B3" s="66">
        <v>1</v>
      </c>
      <c r="C3" s="65">
        <v>0.02</v>
      </c>
      <c r="D3" s="63">
        <v>1.9</v>
      </c>
      <c r="E3" s="63">
        <f t="shared" si="0"/>
        <v>3.7999999999999999E-2</v>
      </c>
    </row>
    <row r="4" spans="1:5" ht="14" x14ac:dyDescent="0.15">
      <c r="A4" s="67" t="s">
        <v>199</v>
      </c>
      <c r="B4" s="66">
        <v>1</v>
      </c>
      <c r="C4" s="65">
        <v>0.08</v>
      </c>
      <c r="D4" s="63">
        <v>2</v>
      </c>
      <c r="E4" s="63">
        <f t="shared" si="0"/>
        <v>0.16</v>
      </c>
    </row>
    <row r="5" spans="1:5" ht="14" x14ac:dyDescent="0.15">
      <c r="A5" s="67" t="s">
        <v>198</v>
      </c>
      <c r="B5" s="66">
        <v>1</v>
      </c>
      <c r="C5" s="65">
        <v>0.18</v>
      </c>
      <c r="D5" s="63">
        <v>0.7</v>
      </c>
      <c r="E5" s="63">
        <f t="shared" si="0"/>
        <v>0.126</v>
      </c>
    </row>
    <row r="6" spans="1:5" ht="14" x14ac:dyDescent="0.15">
      <c r="A6" s="67" t="s">
        <v>197</v>
      </c>
      <c r="B6" s="66">
        <v>1</v>
      </c>
      <c r="C6" s="65">
        <v>0.02</v>
      </c>
      <c r="D6" s="63">
        <v>0.7</v>
      </c>
      <c r="E6" s="63">
        <f t="shared" si="0"/>
        <v>1.3999999999999999E-2</v>
      </c>
    </row>
    <row r="7" spans="1:5" ht="14" x14ac:dyDescent="0.15">
      <c r="A7" s="67" t="s">
        <v>196</v>
      </c>
      <c r="B7" s="66">
        <v>0.93</v>
      </c>
      <c r="C7" s="65">
        <v>0.45</v>
      </c>
      <c r="D7" s="63">
        <v>0.9</v>
      </c>
      <c r="E7" s="63">
        <f t="shared" si="0"/>
        <v>0.40500000000000003</v>
      </c>
    </row>
    <row r="8" spans="1:5" ht="14" x14ac:dyDescent="0.15">
      <c r="A8" s="67" t="s">
        <v>195</v>
      </c>
      <c r="B8" s="66">
        <v>0.5</v>
      </c>
      <c r="C8" s="65">
        <v>0.03</v>
      </c>
      <c r="D8" s="63">
        <v>0</v>
      </c>
      <c r="E8" s="63">
        <f t="shared" si="0"/>
        <v>0</v>
      </c>
    </row>
    <row r="9" spans="1:5" ht="14" x14ac:dyDescent="0.15">
      <c r="A9" s="67" t="s">
        <v>194</v>
      </c>
      <c r="B9" s="66">
        <v>0.5</v>
      </c>
      <c r="C9" s="65">
        <v>0.11</v>
      </c>
      <c r="D9" s="63">
        <v>0</v>
      </c>
      <c r="E9" s="63">
        <f t="shared" si="0"/>
        <v>0</v>
      </c>
    </row>
    <row r="10" spans="1:5" ht="14" x14ac:dyDescent="0.15">
      <c r="A10" s="67" t="s">
        <v>193</v>
      </c>
      <c r="B10" s="66">
        <v>0.98</v>
      </c>
      <c r="C10" s="65">
        <v>0.01</v>
      </c>
      <c r="D10" s="63">
        <v>0.6</v>
      </c>
      <c r="E10" s="63">
        <f t="shared" si="0"/>
        <v>6.0000000000000001E-3</v>
      </c>
    </row>
    <row r="11" spans="1:5" x14ac:dyDescent="0.15">
      <c r="C11" s="6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2" sqref="A1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146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143</v>
      </c>
      <c r="C1" s="34" t="s">
        <v>144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142</v>
      </c>
      <c r="I1" s="34" t="s">
        <v>145</v>
      </c>
      <c r="J1" s="34" t="s">
        <v>168</v>
      </c>
      <c r="K1" s="57" t="s">
        <v>167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33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58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33">
        <f t="shared" si="0"/>
        <v>45692200</v>
      </c>
      <c r="J3" s="33">
        <f t="shared" si="1"/>
        <v>3622037.632993402</v>
      </c>
      <c r="K3" s="58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33">
        <f t="shared" si="0"/>
        <v>46675300</v>
      </c>
      <c r="J4" s="33">
        <f t="shared" si="1"/>
        <v>3591353.7424015561</v>
      </c>
      <c r="K4" s="58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33">
        <f t="shared" si="0"/>
        <v>47658400.000000015</v>
      </c>
      <c r="J5" s="33">
        <f t="shared" si="1"/>
        <v>3558361.8967828737</v>
      </c>
      <c r="K5" s="58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33">
        <f t="shared" si="0"/>
        <v>48641500.000000015</v>
      </c>
      <c r="J6" s="33">
        <f t="shared" si="1"/>
        <v>3527004.6069471212</v>
      </c>
      <c r="K6" s="58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33">
        <f t="shared" si="0"/>
        <v>49111300.000000015</v>
      </c>
      <c r="J7" s="33">
        <f t="shared" si="1"/>
        <v>3493354.6934158299</v>
      </c>
      <c r="K7" s="58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33">
        <f t="shared" si="0"/>
        <v>49581100.000000007</v>
      </c>
      <c r="J8" s="33">
        <f t="shared" si="1"/>
        <v>3457383.8521927581</v>
      </c>
      <c r="K8" s="58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33">
        <f t="shared" si="0"/>
        <v>50050900.000000007</v>
      </c>
      <c r="J9" s="33">
        <f t="shared" si="1"/>
        <v>3419187.609265219</v>
      </c>
      <c r="K9" s="58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33">
        <f t="shared" si="0"/>
        <v>50520700.000000007</v>
      </c>
      <c r="J10" s="33">
        <f t="shared" si="1"/>
        <v>3378798.9859621613</v>
      </c>
      <c r="K10" s="58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33">
        <f t="shared" si="0"/>
        <v>50990500</v>
      </c>
      <c r="J11" s="33">
        <f t="shared" si="1"/>
        <v>3344756.3544830228</v>
      </c>
      <c r="K11" s="58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33">
        <f t="shared" si="0"/>
        <v>51333400</v>
      </c>
      <c r="J12" s="33">
        <f t="shared" si="1"/>
        <v>3308667.5799422786</v>
      </c>
      <c r="K12" s="58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33">
        <f t="shared" si="0"/>
        <v>51676300</v>
      </c>
      <c r="J13" s="33">
        <f t="shared" si="1"/>
        <v>3270569.2216684073</v>
      </c>
      <c r="K13" s="58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33">
        <f t="shared" si="0"/>
        <v>52019200</v>
      </c>
      <c r="J14" s="33">
        <f t="shared" si="1"/>
        <v>3230515.5289875376</v>
      </c>
      <c r="K14" s="58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33">
        <f t="shared" si="0"/>
        <v>52362100</v>
      </c>
      <c r="J15" s="33">
        <f t="shared" si="1"/>
        <v>3188527.7298968509</v>
      </c>
      <c r="K15" s="58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171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149</v>
      </c>
      <c r="B2" s="16" t="s">
        <v>151</v>
      </c>
      <c r="C2" s="52">
        <f>1-_xlfn.NORM.DIST(_xlfn.NORM.INV(SUM(C4:C5), 0, 1) + 1, 0, 1, TRUE)</f>
        <v>0.53200836191885958</v>
      </c>
      <c r="D2" s="52">
        <f t="shared" ref="D2:G2" si="0">1-_xlfn.NORM.DIST(_xlfn.NORM.INV(SUM(D4:D5), 0, 1) + 1, 0, 1, TRUE)</f>
        <v>0.53200836191885958</v>
      </c>
      <c r="E2" s="52">
        <f t="shared" si="0"/>
        <v>0.44274864978114037</v>
      </c>
      <c r="F2" s="52">
        <f t="shared" si="0"/>
        <v>0.24285617786005109</v>
      </c>
      <c r="G2" s="52">
        <f t="shared" si="0"/>
        <v>0.2168920625348294</v>
      </c>
    </row>
    <row r="3" spans="1:15" ht="15.75" customHeight="1" x14ac:dyDescent="0.15">
      <c r="A3" s="5"/>
      <c r="B3" s="16" t="s">
        <v>152</v>
      </c>
      <c r="C3" s="52">
        <f>_xlfn.NORM.DIST(_xlfn.NORM.INV(SUM(C4:C5), 0, 1) + 1, 0, 1, TRUE) - SUM(C4:C5)</f>
        <v>0.3279916380811404</v>
      </c>
      <c r="D3" s="52">
        <f t="shared" ref="D3:G3" si="1">_xlfn.NORM.DIST(_xlfn.NORM.INV(SUM(D4:D5), 0, 1) + 1, 0, 1, TRUE) - SUM(D4:D5)</f>
        <v>0.3279916380811404</v>
      </c>
      <c r="E3" s="52">
        <f t="shared" si="1"/>
        <v>0.36125135021885962</v>
      </c>
      <c r="F3" s="52">
        <f t="shared" si="1"/>
        <v>0.3761438221399489</v>
      </c>
      <c r="G3" s="52">
        <f t="shared" si="1"/>
        <v>0.36910793746517057</v>
      </c>
    </row>
    <row r="4" spans="1:15" ht="15.75" customHeight="1" x14ac:dyDescent="0.15">
      <c r="A4" s="5"/>
      <c r="B4" s="16" t="s">
        <v>150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153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148</v>
      </c>
      <c r="B8" s="9" t="s">
        <v>154</v>
      </c>
      <c r="C8" s="52">
        <f>1-_xlfn.NORM.DIST(_xlfn.NORM.INV(SUM(C10:C11), 0, 1) + 1, 0, 1, TRUE)</f>
        <v>0.43848891822683433</v>
      </c>
      <c r="D8" s="52">
        <f t="shared" ref="D8:G8" si="2">1-_xlfn.NORM.DIST(_xlfn.NORM.INV(SUM(D10:D11), 0, 1) + 1, 0, 1, TRUE)</f>
        <v>0.43848891822683433</v>
      </c>
      <c r="E8" s="52">
        <f t="shared" si="2"/>
        <v>0.46325746477389407</v>
      </c>
      <c r="F8" s="52">
        <f t="shared" si="2"/>
        <v>0.51282536329943151</v>
      </c>
      <c r="G8" s="52">
        <f t="shared" si="2"/>
        <v>0.55784394006702964</v>
      </c>
    </row>
    <row r="9" spans="1:15" ht="15.75" customHeight="1" x14ac:dyDescent="0.15">
      <c r="B9" s="9" t="s">
        <v>155</v>
      </c>
      <c r="C9" s="52">
        <f>_xlfn.NORM.DIST(_xlfn.NORM.INV(SUM(C10:C11), 0, 1) + 1, 0, 1, TRUE) - SUM(C10:C11)</f>
        <v>0.36251108177316566</v>
      </c>
      <c r="D9" s="52">
        <f t="shared" ref="D9:G9" si="3">_xlfn.NORM.DIST(_xlfn.NORM.INV(SUM(D10:D11), 0, 1) + 1, 0, 1, TRUE) - SUM(D10:D11)</f>
        <v>0.36251108177316566</v>
      </c>
      <c r="E9" s="52">
        <f t="shared" si="3"/>
        <v>0.35474253522610594</v>
      </c>
      <c r="F9" s="52">
        <f t="shared" si="3"/>
        <v>0.33617463670056846</v>
      </c>
      <c r="G9" s="52">
        <f t="shared" si="3"/>
        <v>0.31615605993297041</v>
      </c>
    </row>
    <row r="10" spans="1:15" ht="15.75" customHeight="1" x14ac:dyDescent="0.15">
      <c r="B10" s="9" t="s">
        <v>156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157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169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4">iron_deficiency_anaemia*C14</f>
        <v>4.2000000000000003E-2</v>
      </c>
      <c r="D15" s="52">
        <f t="shared" si="4"/>
        <v>4.2000000000000003E-2</v>
      </c>
      <c r="E15" s="52">
        <f t="shared" si="4"/>
        <v>0.31079999999999997</v>
      </c>
      <c r="F15" s="52">
        <f t="shared" si="4"/>
        <v>0.23100000000000001</v>
      </c>
      <c r="G15" s="52">
        <f t="shared" si="4"/>
        <v>0.17934</v>
      </c>
      <c r="H15" s="52">
        <f t="shared" si="4"/>
        <v>0.20222999999999999</v>
      </c>
      <c r="I15" s="52">
        <f t="shared" si="4"/>
        <v>0.20222999999999999</v>
      </c>
      <c r="J15" s="52">
        <f t="shared" si="4"/>
        <v>0.20222999999999999</v>
      </c>
      <c r="K15" s="52">
        <f t="shared" si="4"/>
        <v>0.20222999999999999</v>
      </c>
      <c r="L15" s="52">
        <f t="shared" si="4"/>
        <v>0.18257399999999999</v>
      </c>
      <c r="M15" s="52">
        <f t="shared" si="4"/>
        <v>0.18257399999999999</v>
      </c>
      <c r="N15" s="52">
        <f t="shared" si="4"/>
        <v>0.18257399999999999</v>
      </c>
      <c r="O15" s="52">
        <f t="shared" si="4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147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2" t="s">
        <v>209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2" t="s">
        <v>210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2" t="s">
        <v>211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2" t="s">
        <v>212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181</v>
      </c>
      <c r="B1" s="4" t="s">
        <v>188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182</v>
      </c>
      <c r="B2" s="20" t="s">
        <v>186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183</v>
      </c>
      <c r="B4" s="20" t="s">
        <v>186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184</v>
      </c>
      <c r="B6" s="20" t="s">
        <v>186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32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187</v>
      </c>
      <c r="C8" s="42"/>
      <c r="D8" s="42"/>
      <c r="E8" s="42"/>
      <c r="F8" s="42"/>
      <c r="G8" s="42"/>
      <c r="H8" s="42"/>
      <c r="I8" s="42"/>
      <c r="J8" s="42"/>
      <c r="K8" s="42"/>
    </row>
    <row r="10" spans="1:11" x14ac:dyDescent="0.15">
      <c r="A10" t="s">
        <v>185</v>
      </c>
      <c r="B10" s="22" t="s">
        <v>190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189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93</v>
      </c>
      <c r="B13" s="56" t="s">
        <v>191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22" t="s">
        <v>213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160</v>
      </c>
      <c r="B1" s="70" t="s">
        <v>207</v>
      </c>
      <c r="C1" s="46" t="s">
        <v>158</v>
      </c>
    </row>
    <row r="2" spans="1:3" ht="14.25" customHeight="1" x14ac:dyDescent="0.15">
      <c r="A2" s="13" t="s">
        <v>159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166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166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abSelected="1" zoomScale="115" zoomScaleNormal="115" workbookViewId="0">
      <selection activeCell="D11" sqref="D11"/>
    </sheetView>
  </sheetViews>
  <sheetFormatPr baseColWidth="10" defaultColWidth="11.5" defaultRowHeight="13" x14ac:dyDescent="0.15"/>
  <cols>
    <col min="1" max="1" width="17" style="63" customWidth="1"/>
    <col min="2" max="2" width="19.1640625" style="63" customWidth="1"/>
    <col min="3" max="3" width="13.5" style="63" customWidth="1"/>
    <col min="4" max="16384" width="11.5" style="63"/>
  </cols>
  <sheetData>
    <row r="1" spans="1:5" x14ac:dyDescent="0.15">
      <c r="A1" s="83" t="s">
        <v>224</v>
      </c>
      <c r="B1" s="84" t="s">
        <v>223</v>
      </c>
      <c r="C1" s="84" t="s">
        <v>222</v>
      </c>
      <c r="D1" s="84" t="s">
        <v>221</v>
      </c>
      <c r="E1" s="84" t="s">
        <v>220</v>
      </c>
    </row>
    <row r="2" spans="1:5" x14ac:dyDescent="0.15">
      <c r="A2" s="81" t="s">
        <v>219</v>
      </c>
      <c r="B2" s="76" t="s">
        <v>32</v>
      </c>
      <c r="C2" s="79" t="s">
        <v>217</v>
      </c>
      <c r="D2" s="79" t="s">
        <v>217</v>
      </c>
      <c r="E2" s="103" t="str">
        <f>IF(E$7="","",E$7)</f>
        <v/>
      </c>
    </row>
    <row r="3" spans="1:5" x14ac:dyDescent="0.15">
      <c r="A3" s="77"/>
      <c r="B3" s="76" t="s">
        <v>1</v>
      </c>
      <c r="C3" s="79"/>
      <c r="D3" s="79"/>
      <c r="E3" s="103" t="str">
        <f>IF(E$7="","",E$7)</f>
        <v/>
      </c>
    </row>
    <row r="4" spans="1:5" x14ac:dyDescent="0.15">
      <c r="A4" s="77"/>
      <c r="B4" s="76" t="s">
        <v>2</v>
      </c>
      <c r="C4" s="79"/>
      <c r="D4" s="79"/>
      <c r="E4" s="103" t="str">
        <f>IF(E$7="","",E$7)</f>
        <v/>
      </c>
    </row>
    <row r="5" spans="1:5" x14ac:dyDescent="0.15">
      <c r="A5" s="77"/>
      <c r="B5" s="76" t="s">
        <v>3</v>
      </c>
      <c r="C5" s="79"/>
      <c r="D5" s="79"/>
      <c r="E5" s="103" t="str">
        <f>IF(E$7="","",E$7)</f>
        <v/>
      </c>
    </row>
    <row r="6" spans="1:5" x14ac:dyDescent="0.15">
      <c r="A6" s="77"/>
      <c r="B6" s="76" t="s">
        <v>4</v>
      </c>
      <c r="C6" s="79"/>
      <c r="D6" s="79"/>
      <c r="E6" s="103" t="str">
        <f>IF(E$7="","",E$7)</f>
        <v/>
      </c>
    </row>
    <row r="7" spans="1:5" x14ac:dyDescent="0.15">
      <c r="A7" s="77"/>
      <c r="B7" s="76" t="s">
        <v>215</v>
      </c>
      <c r="C7" s="75"/>
      <c r="D7" s="74"/>
      <c r="E7" s="79"/>
    </row>
    <row r="9" spans="1:5" x14ac:dyDescent="0.15">
      <c r="A9" s="83" t="s">
        <v>218</v>
      </c>
      <c r="B9" s="82" t="s">
        <v>32</v>
      </c>
      <c r="C9" s="79"/>
      <c r="D9" s="79"/>
      <c r="E9" s="104" t="str">
        <f>IF(E$14="","",E$14)</f>
        <v>x</v>
      </c>
    </row>
    <row r="10" spans="1:5" x14ac:dyDescent="0.15">
      <c r="A10" s="77"/>
      <c r="B10" s="76" t="s">
        <v>1</v>
      </c>
      <c r="C10" s="79" t="s">
        <v>217</v>
      </c>
      <c r="D10" s="79" t="s">
        <v>217</v>
      </c>
      <c r="E10" s="103" t="str">
        <f>IF(E$14="","",E$14)</f>
        <v>x</v>
      </c>
    </row>
    <row r="11" spans="1:5" x14ac:dyDescent="0.15">
      <c r="A11" s="77"/>
      <c r="B11" s="76" t="s">
        <v>2</v>
      </c>
      <c r="C11" s="79"/>
      <c r="D11" s="79"/>
      <c r="E11" s="103" t="str">
        <f>IF(E$14="","",E$14)</f>
        <v>x</v>
      </c>
    </row>
    <row r="12" spans="1:5" x14ac:dyDescent="0.15">
      <c r="A12" s="77"/>
      <c r="B12" s="76" t="s">
        <v>3</v>
      </c>
      <c r="C12" s="79"/>
      <c r="D12" s="79"/>
      <c r="E12" s="103" t="str">
        <f>IF(E$14="","",E$14)</f>
        <v>x</v>
      </c>
    </row>
    <row r="13" spans="1:5" x14ac:dyDescent="0.15">
      <c r="A13" s="77"/>
      <c r="B13" s="76" t="s">
        <v>4</v>
      </c>
      <c r="C13" s="79"/>
      <c r="D13" s="79"/>
      <c r="E13" s="103" t="str">
        <f>IF(E$14="","",E$14)</f>
        <v>x</v>
      </c>
    </row>
    <row r="14" spans="1:5" x14ac:dyDescent="0.15">
      <c r="A14" s="77"/>
      <c r="B14" s="76" t="s">
        <v>215</v>
      </c>
      <c r="C14" s="75"/>
      <c r="D14" s="74"/>
      <c r="E14" s="79" t="s">
        <v>217</v>
      </c>
    </row>
    <row r="16" spans="1:5" x14ac:dyDescent="0.15">
      <c r="A16" s="81" t="s">
        <v>216</v>
      </c>
      <c r="B16" s="76" t="s">
        <v>32</v>
      </c>
      <c r="C16" s="73"/>
      <c r="D16" s="80"/>
      <c r="E16" s="104" t="str">
        <f>IF(E$21="","",E$21)</f>
        <v/>
      </c>
    </row>
    <row r="17" spans="1:5" x14ac:dyDescent="0.15">
      <c r="A17" s="77"/>
      <c r="B17" s="76" t="s">
        <v>1</v>
      </c>
      <c r="C17" s="73"/>
      <c r="D17" s="79"/>
      <c r="E17" s="103" t="str">
        <f>IF(E$21="","",E$21)</f>
        <v/>
      </c>
    </row>
    <row r="18" spans="1:5" x14ac:dyDescent="0.15">
      <c r="A18" s="77"/>
      <c r="B18" s="76" t="s">
        <v>2</v>
      </c>
      <c r="C18" s="73"/>
      <c r="D18" s="79"/>
      <c r="E18" s="103" t="str">
        <f>IF(E$21="","",E$21)</f>
        <v/>
      </c>
    </row>
    <row r="19" spans="1:5" x14ac:dyDescent="0.15">
      <c r="A19" s="77"/>
      <c r="B19" s="76" t="s">
        <v>3</v>
      </c>
      <c r="C19" s="73"/>
      <c r="D19" s="79"/>
      <c r="E19" s="103" t="str">
        <f>IF(E$21="","",E$21)</f>
        <v/>
      </c>
    </row>
    <row r="20" spans="1:5" x14ac:dyDescent="0.15">
      <c r="A20" s="77"/>
      <c r="B20" s="76" t="s">
        <v>4</v>
      </c>
      <c r="C20" s="73"/>
      <c r="D20" s="78"/>
      <c r="E20" s="103" t="str">
        <f>IF(E$21="","",E$21)</f>
        <v/>
      </c>
    </row>
    <row r="21" spans="1:5" x14ac:dyDescent="0.15">
      <c r="A21" s="77"/>
      <c r="B21" s="76" t="s">
        <v>215</v>
      </c>
      <c r="C21" s="75"/>
      <c r="D21" s="74"/>
      <c r="E21" s="7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E54"/>
  <sheetViews>
    <sheetView topLeftCell="A29" workbookViewId="0">
      <selection activeCell="D52" sqref="D52"/>
    </sheetView>
  </sheetViews>
  <sheetFormatPr baseColWidth="10" defaultColWidth="14.5" defaultRowHeight="15.75" customHeight="1" x14ac:dyDescent="0.15"/>
  <cols>
    <col min="1" max="1" width="56" style="85" customWidth="1"/>
    <col min="2" max="2" width="20" style="64" customWidth="1"/>
    <col min="3" max="3" width="20.5" style="63" customWidth="1"/>
    <col min="4" max="4" width="20.1640625" style="63" customWidth="1"/>
    <col min="5" max="16384" width="14.5" style="63"/>
  </cols>
  <sheetData>
    <row r="1" spans="1:5" ht="26" x14ac:dyDescent="0.15">
      <c r="A1" s="96" t="s">
        <v>88</v>
      </c>
      <c r="B1" s="96" t="s">
        <v>230</v>
      </c>
      <c r="C1" s="95" t="s">
        <v>229</v>
      </c>
      <c r="D1" s="94" t="s">
        <v>228</v>
      </c>
    </row>
    <row r="2" spans="1:5" ht="15.75" customHeight="1" x14ac:dyDescent="0.15">
      <c r="A2" s="85" t="s">
        <v>29</v>
      </c>
      <c r="B2" s="87">
        <v>0</v>
      </c>
      <c r="C2" s="87">
        <v>0.95</v>
      </c>
      <c r="D2" s="88">
        <v>25</v>
      </c>
    </row>
    <row r="3" spans="1:5" ht="15.75" customHeight="1" x14ac:dyDescent="0.15">
      <c r="A3" s="85" t="s">
        <v>118</v>
      </c>
      <c r="B3" s="87">
        <v>0</v>
      </c>
      <c r="C3" s="87">
        <v>0.95</v>
      </c>
      <c r="D3" s="88">
        <v>0.8</v>
      </c>
      <c r="E3" s="93"/>
    </row>
    <row r="4" spans="1:5" ht="15.75" customHeight="1" x14ac:dyDescent="0.15">
      <c r="A4" s="85" t="s">
        <v>115</v>
      </c>
      <c r="B4" s="87">
        <v>0</v>
      </c>
      <c r="C4" s="87">
        <v>0.95</v>
      </c>
      <c r="D4" s="88">
        <v>1</v>
      </c>
      <c r="E4" s="72"/>
    </row>
    <row r="5" spans="1:5" ht="15.75" customHeight="1" x14ac:dyDescent="0.15">
      <c r="A5" s="85" t="s">
        <v>78</v>
      </c>
      <c r="B5" s="87">
        <v>0.1</v>
      </c>
      <c r="C5" s="87">
        <v>0.95</v>
      </c>
      <c r="D5" s="88">
        <f>180</f>
        <v>180</v>
      </c>
      <c r="E5" s="72"/>
    </row>
    <row r="6" spans="1:5" ht="15.75" customHeight="1" x14ac:dyDescent="0.15">
      <c r="A6" s="85" t="s">
        <v>86</v>
      </c>
      <c r="B6" s="87">
        <v>0.5</v>
      </c>
      <c r="C6" s="87">
        <v>0.95</v>
      </c>
      <c r="D6" s="89">
        <f>SUM('Programs family planning'!E2:E10)</f>
        <v>0.82100000000000006</v>
      </c>
      <c r="E6" s="92"/>
    </row>
    <row r="7" spans="1:5" ht="15.75" customHeight="1" x14ac:dyDescent="0.15">
      <c r="A7" s="85" t="s">
        <v>80</v>
      </c>
      <c r="B7" s="87">
        <v>0</v>
      </c>
      <c r="C7" s="87">
        <v>0.95</v>
      </c>
      <c r="D7" s="88">
        <v>0.14000000000000001</v>
      </c>
      <c r="E7" s="91"/>
    </row>
    <row r="8" spans="1:5" ht="15.75" customHeight="1" x14ac:dyDescent="0.15">
      <c r="A8" s="85" t="s">
        <v>81</v>
      </c>
      <c r="B8" s="87">
        <v>0</v>
      </c>
      <c r="C8" s="87">
        <v>0.95</v>
      </c>
      <c r="D8" s="88">
        <v>0.75</v>
      </c>
      <c r="E8" s="91"/>
    </row>
    <row r="9" spans="1:5" ht="15.75" customHeight="1" x14ac:dyDescent="0.15">
      <c r="A9" s="85" t="s">
        <v>79</v>
      </c>
      <c r="B9" s="87">
        <v>0</v>
      </c>
      <c r="C9" s="87">
        <v>0.95</v>
      </c>
      <c r="D9" s="88">
        <v>0.19</v>
      </c>
      <c r="E9" s="91"/>
    </row>
    <row r="10" spans="1:5" ht="15.75" customHeight="1" x14ac:dyDescent="0.15">
      <c r="A10" s="85" t="s">
        <v>63</v>
      </c>
      <c r="B10" s="87">
        <v>0</v>
      </c>
      <c r="C10" s="87">
        <v>0.95</v>
      </c>
      <c r="D10" s="88">
        <v>0.73</v>
      </c>
    </row>
    <row r="11" spans="1:5" ht="15.75" customHeight="1" x14ac:dyDescent="0.15">
      <c r="A11" s="85" t="s">
        <v>71</v>
      </c>
      <c r="B11" s="87">
        <v>0</v>
      </c>
      <c r="C11" s="87">
        <v>0.95</v>
      </c>
      <c r="D11" s="88">
        <v>0.73</v>
      </c>
    </row>
    <row r="12" spans="1:5" ht="15.75" customHeight="1" x14ac:dyDescent="0.15">
      <c r="A12" s="85" t="s">
        <v>64</v>
      </c>
      <c r="B12" s="87">
        <v>0</v>
      </c>
      <c r="C12" s="87">
        <v>0.95</v>
      </c>
      <c r="D12" s="88">
        <v>1.78</v>
      </c>
    </row>
    <row r="13" spans="1:5" ht="15.75" customHeight="1" x14ac:dyDescent="0.15">
      <c r="A13" s="85" t="s">
        <v>72</v>
      </c>
      <c r="B13" s="87">
        <v>0</v>
      </c>
      <c r="C13" s="87">
        <v>0.95</v>
      </c>
      <c r="D13" s="88">
        <v>1.78</v>
      </c>
    </row>
    <row r="14" spans="1:5" ht="15.75" customHeight="1" x14ac:dyDescent="0.15">
      <c r="A14" s="85" t="s">
        <v>65</v>
      </c>
      <c r="B14" s="87">
        <v>0</v>
      </c>
      <c r="C14" s="87">
        <v>0.95</v>
      </c>
      <c r="D14" s="88">
        <v>0.24</v>
      </c>
    </row>
    <row r="15" spans="1:5" ht="15.75" customHeight="1" x14ac:dyDescent="0.15">
      <c r="A15" s="85" t="s">
        <v>73</v>
      </c>
      <c r="B15" s="87">
        <v>0</v>
      </c>
      <c r="C15" s="87">
        <v>0.95</v>
      </c>
      <c r="D15" s="88">
        <v>0.24</v>
      </c>
    </row>
    <row r="16" spans="1:5" ht="15.75" customHeight="1" x14ac:dyDescent="0.15">
      <c r="A16" s="85" t="s">
        <v>62</v>
      </c>
      <c r="B16" s="87">
        <v>0</v>
      </c>
      <c r="C16" s="87">
        <v>0.95</v>
      </c>
      <c r="D16" s="88">
        <v>0.55000000000000004</v>
      </c>
    </row>
    <row r="17" spans="1:5" ht="15.75" customHeight="1" x14ac:dyDescent="0.15">
      <c r="A17" s="85" t="s">
        <v>70</v>
      </c>
      <c r="B17" s="87">
        <v>0</v>
      </c>
      <c r="C17" s="87">
        <v>0.95</v>
      </c>
      <c r="D17" s="88">
        <v>0.55000000000000004</v>
      </c>
    </row>
    <row r="18" spans="1:5" ht="15.75" customHeight="1" x14ac:dyDescent="0.15">
      <c r="A18" s="85" t="s">
        <v>60</v>
      </c>
      <c r="B18" s="87">
        <v>0</v>
      </c>
      <c r="C18" s="87">
        <v>0.95</v>
      </c>
      <c r="D18" s="88">
        <v>0.73</v>
      </c>
    </row>
    <row r="19" spans="1:5" ht="15.75" customHeight="1" x14ac:dyDescent="0.15">
      <c r="A19" s="85" t="s">
        <v>68</v>
      </c>
      <c r="B19" s="87">
        <v>0</v>
      </c>
      <c r="C19" s="87">
        <v>0.95</v>
      </c>
      <c r="D19" s="88">
        <v>0.73</v>
      </c>
    </row>
    <row r="20" spans="1:5" ht="15.75" customHeight="1" x14ac:dyDescent="0.15">
      <c r="A20" s="85" t="s">
        <v>61</v>
      </c>
      <c r="B20" s="87">
        <v>0</v>
      </c>
      <c r="C20" s="87">
        <v>0.95</v>
      </c>
      <c r="D20" s="88">
        <v>1.78</v>
      </c>
    </row>
    <row r="21" spans="1:5" ht="15.75" customHeight="1" x14ac:dyDescent="0.15">
      <c r="A21" s="85" t="s">
        <v>69</v>
      </c>
      <c r="B21" s="87">
        <v>0</v>
      </c>
      <c r="C21" s="87">
        <v>0.95</v>
      </c>
      <c r="D21" s="88">
        <v>1.78</v>
      </c>
    </row>
    <row r="22" spans="1:5" ht="15.75" customHeight="1" x14ac:dyDescent="0.15">
      <c r="A22" s="85" t="s">
        <v>59</v>
      </c>
      <c r="B22" s="87">
        <v>0</v>
      </c>
      <c r="C22" s="87">
        <v>0.95</v>
      </c>
      <c r="D22" s="88">
        <v>0.55000000000000004</v>
      </c>
    </row>
    <row r="23" spans="1:5" ht="15.75" customHeight="1" x14ac:dyDescent="0.15">
      <c r="A23" s="85" t="s">
        <v>67</v>
      </c>
      <c r="B23" s="87">
        <v>0</v>
      </c>
      <c r="C23" s="87">
        <v>0.95</v>
      </c>
      <c r="D23" s="88">
        <v>0.55000000000000004</v>
      </c>
    </row>
    <row r="24" spans="1:5" ht="15.75" customHeight="1" x14ac:dyDescent="0.15">
      <c r="A24" s="85" t="s">
        <v>58</v>
      </c>
      <c r="B24" s="87">
        <v>0</v>
      </c>
      <c r="C24" s="87">
        <v>0.95</v>
      </c>
      <c r="D24" s="88">
        <v>2.06</v>
      </c>
    </row>
    <row r="25" spans="1:5" ht="15.75" customHeight="1" x14ac:dyDescent="0.15">
      <c r="A25" s="85" t="s">
        <v>34</v>
      </c>
      <c r="B25" s="87">
        <v>0</v>
      </c>
      <c r="C25" s="87">
        <v>0.95</v>
      </c>
      <c r="D25" s="88">
        <v>1.78</v>
      </c>
      <c r="E25" s="72"/>
    </row>
    <row r="26" spans="1:5" ht="15.75" customHeight="1" x14ac:dyDescent="0.15">
      <c r="A26" s="85" t="s">
        <v>76</v>
      </c>
      <c r="B26" s="87">
        <v>0</v>
      </c>
      <c r="C26" s="87">
        <v>0.95</v>
      </c>
      <c r="D26" s="88">
        <v>1.78</v>
      </c>
      <c r="E26" s="72"/>
    </row>
    <row r="27" spans="1:5" ht="15.75" customHeight="1" x14ac:dyDescent="0.15">
      <c r="A27" s="85" t="s">
        <v>48</v>
      </c>
      <c r="B27" s="87">
        <v>0</v>
      </c>
      <c r="C27" s="87">
        <v>0.95</v>
      </c>
      <c r="D27" s="88">
        <v>0.25</v>
      </c>
      <c r="E27" s="72"/>
    </row>
    <row r="28" spans="1:5" ht="15.75" customHeight="1" x14ac:dyDescent="0.15">
      <c r="A28" s="85" t="s">
        <v>227</v>
      </c>
      <c r="B28" s="87">
        <v>0</v>
      </c>
      <c r="C28" s="87">
        <v>0.95</v>
      </c>
      <c r="D28" s="88">
        <v>0.13</v>
      </c>
      <c r="E28" s="72"/>
    </row>
    <row r="29" spans="1:5" ht="15.75" customHeight="1" x14ac:dyDescent="0.15">
      <c r="A29" s="85" t="s">
        <v>226</v>
      </c>
      <c r="B29" s="87">
        <v>0</v>
      </c>
      <c r="C29" s="87">
        <v>0.95</v>
      </c>
      <c r="D29" s="88">
        <v>0.74</v>
      </c>
      <c r="E29" s="72"/>
    </row>
    <row r="30" spans="1:5" ht="15.75" customHeight="1" x14ac:dyDescent="0.15">
      <c r="A30" s="85" t="s">
        <v>225</v>
      </c>
      <c r="B30" s="87">
        <v>0</v>
      </c>
      <c r="C30" s="87">
        <v>0.95</v>
      </c>
      <c r="D30" s="88">
        <v>0.18</v>
      </c>
      <c r="E30" s="72"/>
    </row>
    <row r="31" spans="1:5" ht="15.75" customHeight="1" x14ac:dyDescent="0.15">
      <c r="A31" s="85" t="s">
        <v>35</v>
      </c>
      <c r="B31" s="87">
        <v>0.2</v>
      </c>
      <c r="C31" s="87">
        <v>0.95</v>
      </c>
      <c r="D31" s="88">
        <v>2.61</v>
      </c>
    </row>
    <row r="32" spans="1:5" ht="15.75" customHeight="1" x14ac:dyDescent="0.15">
      <c r="A32" s="85" t="s">
        <v>117</v>
      </c>
      <c r="B32" s="87">
        <v>0</v>
      </c>
      <c r="C32" s="87">
        <v>0.95</v>
      </c>
      <c r="D32" s="88">
        <v>1</v>
      </c>
    </row>
    <row r="33" spans="1:5" ht="15.75" customHeight="1" x14ac:dyDescent="0.15">
      <c r="A33" s="85" t="s">
        <v>116</v>
      </c>
      <c r="B33" s="87">
        <v>0</v>
      </c>
      <c r="C33" s="87">
        <v>0.95</v>
      </c>
      <c r="D33" s="88">
        <v>1</v>
      </c>
    </row>
    <row r="34" spans="1:5" ht="15.75" customHeight="1" x14ac:dyDescent="0.15">
      <c r="A34" s="85" t="s">
        <v>74</v>
      </c>
      <c r="B34" s="87">
        <v>0</v>
      </c>
      <c r="C34" s="87">
        <v>0.95</v>
      </c>
      <c r="D34" s="88">
        <v>2.99</v>
      </c>
      <c r="E34" s="72"/>
    </row>
    <row r="35" spans="1:5" ht="15.75" customHeight="1" x14ac:dyDescent="0.15">
      <c r="A35" s="85" t="s">
        <v>75</v>
      </c>
      <c r="B35" s="87">
        <v>0</v>
      </c>
      <c r="C35" s="87">
        <v>0.95</v>
      </c>
      <c r="D35" s="88">
        <v>2.99</v>
      </c>
      <c r="E35" s="72"/>
    </row>
    <row r="36" spans="1:5" ht="15.75" customHeight="1" x14ac:dyDescent="0.15">
      <c r="A36" s="85" t="s">
        <v>113</v>
      </c>
      <c r="B36" s="87">
        <v>0</v>
      </c>
      <c r="C36" s="87">
        <v>0.95</v>
      </c>
      <c r="D36" s="88">
        <v>1</v>
      </c>
      <c r="E36" s="72"/>
    </row>
    <row r="37" spans="1:5" ht="15.75" customHeight="1" x14ac:dyDescent="0.15">
      <c r="A37" s="85" t="s">
        <v>66</v>
      </c>
      <c r="B37" s="87">
        <v>0</v>
      </c>
      <c r="C37" s="87">
        <v>0.95</v>
      </c>
      <c r="D37" s="88">
        <v>48</v>
      </c>
      <c r="E37" s="72"/>
    </row>
    <row r="38" spans="1:5" ht="15.75" customHeight="1" x14ac:dyDescent="0.15">
      <c r="A38" s="85" t="s">
        <v>177</v>
      </c>
      <c r="B38" s="87">
        <v>0</v>
      </c>
      <c r="C38" s="87">
        <v>0.95</v>
      </c>
      <c r="D38" s="88">
        <v>50</v>
      </c>
      <c r="E38" s="90"/>
    </row>
    <row r="39" spans="1:5" ht="15.75" customHeight="1" x14ac:dyDescent="0.15">
      <c r="A39" s="85" t="s">
        <v>178</v>
      </c>
      <c r="B39" s="87">
        <v>0</v>
      </c>
      <c r="C39" s="87">
        <v>0.95</v>
      </c>
      <c r="D39" s="88">
        <v>51</v>
      </c>
      <c r="E39" s="72"/>
    </row>
    <row r="40" spans="1:5" ht="15.75" customHeight="1" x14ac:dyDescent="0.15">
      <c r="A40" s="85" t="s">
        <v>179</v>
      </c>
      <c r="B40" s="87">
        <v>0</v>
      </c>
      <c r="C40" s="87">
        <v>0.95</v>
      </c>
      <c r="D40" s="88">
        <v>1</v>
      </c>
      <c r="E40" s="72"/>
    </row>
    <row r="41" spans="1:5" ht="15.75" customHeight="1" x14ac:dyDescent="0.15">
      <c r="A41" s="85" t="s">
        <v>180</v>
      </c>
      <c r="B41" s="87">
        <v>0</v>
      </c>
      <c r="C41" s="87">
        <v>0.95</v>
      </c>
      <c r="D41" s="88">
        <v>1</v>
      </c>
      <c r="E41" s="72"/>
    </row>
    <row r="42" spans="1:5" ht="15.75" customHeight="1" x14ac:dyDescent="0.15">
      <c r="A42" s="85" t="s">
        <v>84</v>
      </c>
      <c r="B42" s="87">
        <v>0</v>
      </c>
      <c r="C42" s="87">
        <v>0.95</v>
      </c>
      <c r="D42" s="89">
        <f>30*AVERAGE('Incidence of conditions'!B3:F3)</f>
        <v>10.046400000000002</v>
      </c>
    </row>
    <row r="43" spans="1:5" ht="15.75" customHeight="1" x14ac:dyDescent="0.15">
      <c r="A43" s="85" t="s">
        <v>85</v>
      </c>
      <c r="B43" s="87">
        <v>0</v>
      </c>
      <c r="C43" s="87">
        <v>0.95</v>
      </c>
      <c r="D43" s="89">
        <f>179.97*AVERAGE('Incidence of conditions'!B4:F4)</f>
        <v>19.933477200000002</v>
      </c>
    </row>
    <row r="44" spans="1:5" ht="15.75" customHeight="1" x14ac:dyDescent="0.15">
      <c r="A44" s="85" t="s">
        <v>28</v>
      </c>
      <c r="B44" s="87">
        <v>0</v>
      </c>
      <c r="C44" s="87">
        <v>0.95</v>
      </c>
      <c r="D44" s="88">
        <v>0.35</v>
      </c>
    </row>
    <row r="45" spans="1:5" ht="15.75" customHeight="1" x14ac:dyDescent="0.15">
      <c r="A45" s="85" t="s">
        <v>112</v>
      </c>
      <c r="B45" s="87">
        <v>0</v>
      </c>
      <c r="C45" s="87">
        <v>0.95</v>
      </c>
      <c r="D45" s="88">
        <v>1</v>
      </c>
    </row>
    <row r="46" spans="1:5" ht="15.75" customHeight="1" x14ac:dyDescent="0.15">
      <c r="A46" s="85" t="s">
        <v>111</v>
      </c>
      <c r="B46" s="87">
        <v>0</v>
      </c>
      <c r="C46" s="87">
        <v>0.95</v>
      </c>
      <c r="D46" s="88">
        <v>2.8</v>
      </c>
    </row>
    <row r="47" spans="1:5" ht="15.75" customHeight="1" x14ac:dyDescent="0.15">
      <c r="A47" s="85" t="s">
        <v>110</v>
      </c>
      <c r="B47" s="87">
        <v>0</v>
      </c>
      <c r="C47" s="87">
        <v>0.95</v>
      </c>
      <c r="D47" s="88">
        <v>50.26</v>
      </c>
    </row>
    <row r="48" spans="1:5" ht="15.75" customHeight="1" x14ac:dyDescent="0.15">
      <c r="A48" s="85" t="s">
        <v>108</v>
      </c>
      <c r="B48" s="87">
        <v>0</v>
      </c>
      <c r="C48" s="87">
        <v>0.95</v>
      </c>
      <c r="D48" s="88">
        <v>36.1</v>
      </c>
    </row>
    <row r="49" spans="1:4" ht="15.75" customHeight="1" x14ac:dyDescent="0.15">
      <c r="A49" s="85" t="s">
        <v>109</v>
      </c>
      <c r="B49" s="87">
        <v>0</v>
      </c>
      <c r="C49" s="87">
        <v>0.95</v>
      </c>
      <c r="D49" s="88">
        <v>231.85</v>
      </c>
    </row>
    <row r="50" spans="1:4" ht="15.75" customHeight="1" x14ac:dyDescent="0.15">
      <c r="A50" s="85" t="s">
        <v>114</v>
      </c>
      <c r="B50" s="87">
        <v>0</v>
      </c>
      <c r="C50" s="87">
        <v>0.95</v>
      </c>
      <c r="D50" s="88">
        <v>1.5</v>
      </c>
    </row>
    <row r="51" spans="1:4" ht="15.75" customHeight="1" x14ac:dyDescent="0.15">
      <c r="A51" s="85" t="s">
        <v>77</v>
      </c>
      <c r="B51" s="87">
        <v>0</v>
      </c>
      <c r="C51" s="87">
        <v>0.95</v>
      </c>
      <c r="D51" s="88">
        <v>1</v>
      </c>
    </row>
    <row r="52" spans="1:4" s="64" customFormat="1" ht="15.75" customHeight="1" x14ac:dyDescent="0.15">
      <c r="A52" s="85" t="s">
        <v>219</v>
      </c>
      <c r="B52" s="87">
        <v>0</v>
      </c>
      <c r="C52" s="87">
        <v>0.95</v>
      </c>
      <c r="D52" s="86">
        <f>SUMPRODUCT(('IYCF cost'!$C$2:$E$6)*('IYCF packages'!$C$2:$E$6&lt;&gt;""))</f>
        <v>1.22</v>
      </c>
    </row>
    <row r="53" spans="1:4" ht="15.75" customHeight="1" x14ac:dyDescent="0.15">
      <c r="A53" s="85" t="s">
        <v>218</v>
      </c>
      <c r="B53" s="87">
        <v>0</v>
      </c>
      <c r="C53" s="87">
        <v>0.95</v>
      </c>
      <c r="D53" s="86">
        <f>SUMPRODUCT(('IYCF cost'!$C$2:$E$6)*('IYCF packages'!$C$9:$E$13&lt;&gt;""))</f>
        <v>1.4700000000000002</v>
      </c>
    </row>
    <row r="54" spans="1:4" ht="15.75" customHeight="1" x14ac:dyDescent="0.15">
      <c r="A54" s="85" t="s">
        <v>216</v>
      </c>
      <c r="B54" s="87">
        <v>0</v>
      </c>
      <c r="C54" s="87">
        <v>0.95</v>
      </c>
      <c r="D54" s="86">
        <f>SUMPRODUCT(('IYCF cost'!$C$2:$E$6)*('IYCF packages'!$C$16:$E$20&lt;&gt;""))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2018-06-14T23:32:31Z</dcterms:modified>
</cp:coreProperties>
</file>