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Master/"/>
    </mc:Choice>
  </mc:AlternateContent>
  <xr:revisionPtr revIDLastSave="0" documentId="13_ncr:1_{87F1A66A-55F9-FF4E-88D1-D12500D63FA0}" xr6:coauthVersionLast="28" xr6:coauthVersionMax="28" xr10:uidLastSave="{00000000-0000-0000-0000-000000000000}"/>
  <bookViews>
    <workbookView xWindow="0" yWindow="460" windowWidth="19180" windowHeight="15540" tabRatio="500" firstSheet="3" xr2:uid="{00000000-000D-0000-FFFF-FFFF00000000}"/>
    <workbookView xWindow="6180" yWindow="460" windowWidth="19200" windowHeight="15540" firstSheet="6" activeTab="6" xr2:uid="{6012ED9D-C976-9D48-BBD1-A3965D62583C}"/>
  </bookViews>
  <sheets>
    <sheet name="Baseline year demographics" sheetId="1" r:id="rId1"/>
    <sheet name="Demographic projections" sheetId="2" r:id="rId2"/>
    <sheet name="Annual prevalence" sheetId="53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 births" sheetId="42" r:id="rId8"/>
    <sheet name="Birth outcomes &amp; risks" sheetId="6" r:id="rId9"/>
    <sheet name="IYCF packages" sheetId="33" r:id="rId10"/>
    <sheet name="IYCF cost &amp; coverage" sheetId="35" r:id="rId11"/>
    <sheet name="Programs to include" sheetId="44" r:id="rId12"/>
    <sheet name="Program dependencies" sheetId="40" r:id="rId13"/>
    <sheet name="Programs annual scale-up" sheetId="51" r:id="rId14"/>
    <sheet name="Programs annual spending" sheetId="52" r:id="rId15"/>
    <sheet name="Reference programs" sheetId="48" r:id="rId16"/>
    <sheet name="Programs cost and coverage" sheetId="20" r:id="rId17"/>
    <sheet name="Appropriate breastfeeding" sheetId="19" r:id="rId18"/>
    <sheet name="IYCF package odds ratios" sheetId="32" r:id="rId19"/>
    <sheet name="Relative risks" sheetId="26" r:id="rId20"/>
    <sheet name="Odds ratios" sheetId="27" r:id="rId21"/>
    <sheet name="Programs birth outcomes" sheetId="22" r:id="rId22"/>
    <sheet name="Programs anaemia" sheetId="30" r:id="rId23"/>
    <sheet name="Programs wasting" sheetId="31" r:id="rId24"/>
    <sheet name="Programs for children" sheetId="28" r:id="rId25"/>
    <sheet name="Programs family planning" sheetId="34" r:id="rId26"/>
    <sheet name="Programs for PW" sheetId="45" r:id="rId27"/>
    <sheet name="Programs birth age" sheetId="46" r:id="rId28"/>
    <sheet name="Programs target population" sheetId="21" r:id="rId29"/>
    <sheet name="Programs impacted population" sheetId="47" r:id="rId30"/>
    <sheet name="Program risk areas" sheetId="36" r:id="rId31"/>
    <sheet name="Population risk areas" sheetId="43" r:id="rId32"/>
  </sheets>
  <definedNames>
    <definedName name="FPCov">'Programs cost and coverage'!$B$6</definedName>
    <definedName name="FPunmetNeed">'Baseline year demographics'!$C$11</definedName>
    <definedName name="FracChildrenHF">'Baseline year demographics'!$C$10</definedName>
    <definedName name="FracEatingWheat">'Baseline year demographics'!$C$27</definedName>
    <definedName name="FracEatMaize">'Baseline year demographics'!$C$28</definedName>
    <definedName name="FracEatRice">'Baseline year demographics'!$C$26</definedName>
    <definedName name="FracPoor">'Baseline year demographics'!$C$7</definedName>
    <definedName name="FracPWHF">'Baseline year demographics'!$C$9</definedName>
    <definedName name="FracRiskMalaria">'Baseline year demographics'!$C$8</definedName>
    <definedName name="FracSchoolAttendance">'Baseline year demographics'!$C$6</definedName>
    <definedName name="NumNonPW">'Baseline year demographics'!$C$38:$C$41</definedName>
    <definedName name="NumPW">'Baseline year demographics'!$C$5</definedName>
    <definedName name="PWDist">'Baseline year demographics'!$C$50:$C$53</definedName>
    <definedName name="PWPop">'Baseline year demographics'!$C$44:$C$47</definedName>
    <definedName name="WRAPop">'Baseline year demographics'!$C$32:$C$35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M50" i="21"/>
  <c r="N50" i="21"/>
  <c r="O50" i="21"/>
  <c r="F50" i="21"/>
  <c r="G50" i="21"/>
  <c r="H50" i="21"/>
  <c r="I50" i="21"/>
  <c r="J50" i="21"/>
  <c r="K50" i="21"/>
  <c r="L50" i="21"/>
  <c r="E50" i="21"/>
  <c r="M49" i="21"/>
  <c r="N49" i="21"/>
  <c r="O49" i="21"/>
  <c r="F49" i="21"/>
  <c r="G49" i="21"/>
  <c r="H49" i="21"/>
  <c r="I49" i="21"/>
  <c r="J49" i="21"/>
  <c r="K49" i="21"/>
  <c r="L49" i="21"/>
  <c r="E49" i="21"/>
  <c r="O48" i="21"/>
  <c r="F48" i="21"/>
  <c r="G48" i="21"/>
  <c r="H48" i="21"/>
  <c r="I48" i="21"/>
  <c r="J48" i="21"/>
  <c r="K48" i="21"/>
  <c r="L48" i="21"/>
  <c r="M48" i="21"/>
  <c r="N48" i="21"/>
  <c r="E48" i="21"/>
  <c r="N47" i="21"/>
  <c r="O47" i="21"/>
  <c r="D47" i="21"/>
  <c r="E47" i="21"/>
  <c r="F47" i="21"/>
  <c r="G47" i="21"/>
  <c r="H47" i="21"/>
  <c r="I47" i="21"/>
  <c r="J47" i="21"/>
  <c r="K47" i="21"/>
  <c r="L47" i="21"/>
  <c r="M47" i="21"/>
  <c r="C47" i="21"/>
  <c r="M35" i="21"/>
  <c r="N35" i="21"/>
  <c r="O35" i="21"/>
  <c r="L35" i="21"/>
  <c r="M34" i="21"/>
  <c r="N34" i="21"/>
  <c r="O34" i="21"/>
  <c r="L34" i="21"/>
  <c r="N33" i="21"/>
  <c r="O33" i="21"/>
  <c r="M33" i="21"/>
  <c r="N32" i="21"/>
  <c r="O32" i="21"/>
  <c r="M32" i="21"/>
  <c r="N31" i="21"/>
  <c r="O31" i="21"/>
  <c r="M31" i="21"/>
  <c r="N29" i="21"/>
  <c r="O29" i="21"/>
  <c r="M29" i="21"/>
  <c r="N28" i="21"/>
  <c r="O28" i="21"/>
  <c r="M28" i="21"/>
  <c r="L33" i="21"/>
  <c r="L32" i="21"/>
  <c r="L31" i="21"/>
  <c r="L30" i="21"/>
  <c r="L29" i="21"/>
  <c r="L28" i="21"/>
  <c r="L27" i="21"/>
  <c r="N26" i="21"/>
  <c r="O26" i="21"/>
  <c r="M26" i="21"/>
  <c r="L26" i="21"/>
  <c r="N25" i="21"/>
  <c r="O25" i="21"/>
  <c r="M25" i="21"/>
  <c r="L25" i="21"/>
  <c r="N24" i="21"/>
  <c r="O24" i="21"/>
  <c r="M24" i="21"/>
  <c r="L24" i="21"/>
  <c r="L23" i="21"/>
  <c r="N22" i="21"/>
  <c r="O22" i="21"/>
  <c r="M22" i="21"/>
  <c r="L22" i="21"/>
  <c r="N21" i="21"/>
  <c r="O21" i="21"/>
  <c r="M21" i="21"/>
  <c r="L21" i="21"/>
  <c r="L20" i="21"/>
  <c r="H18" i="21"/>
  <c r="I18" i="21"/>
  <c r="J18" i="21"/>
  <c r="K18" i="21"/>
  <c r="I17" i="21"/>
  <c r="J17" i="21"/>
  <c r="K17" i="21"/>
  <c r="H17" i="21"/>
  <c r="I16" i="21"/>
  <c r="J16" i="21"/>
  <c r="K16" i="21"/>
  <c r="H16" i="21"/>
  <c r="I15" i="21"/>
  <c r="J15" i="21"/>
  <c r="K15" i="21"/>
  <c r="H15" i="21"/>
  <c r="I14" i="21"/>
  <c r="J14" i="21"/>
  <c r="K14" i="21"/>
  <c r="H14" i="21"/>
  <c r="I13" i="21"/>
  <c r="J13" i="21"/>
  <c r="K13" i="21"/>
  <c r="H13" i="21"/>
  <c r="E9" i="21"/>
  <c r="F9" i="21"/>
  <c r="G9" i="21"/>
  <c r="D9" i="21"/>
  <c r="F8" i="21"/>
  <c r="G8" i="21"/>
  <c r="E8" i="21"/>
  <c r="F7" i="21"/>
  <c r="G7" i="21"/>
  <c r="E7" i="21"/>
  <c r="F6" i="21"/>
  <c r="E6" i="21"/>
  <c r="F5" i="21"/>
  <c r="E5" i="21"/>
  <c r="F4" i="21"/>
  <c r="E4" i="21"/>
  <c r="C41" i="1"/>
  <c r="C40" i="1"/>
  <c r="C39" i="1"/>
  <c r="C38" i="1"/>
  <c r="C45" i="1"/>
  <c r="C47" i="1"/>
  <c r="C46" i="1"/>
  <c r="C44" i="1"/>
  <c r="G17" i="28" l="1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O10" i="29"/>
  <c r="F10" i="29"/>
  <c r="G10" i="29"/>
  <c r="H10" i="29"/>
  <c r="I10" i="29"/>
  <c r="J10" i="29"/>
  <c r="K10" i="29"/>
  <c r="L10" i="29"/>
  <c r="M10" i="29"/>
  <c r="N10" i="29"/>
  <c r="E10" i="29"/>
  <c r="C17" i="1" l="1"/>
  <c r="K26" i="53" l="1"/>
  <c r="K25" i="53"/>
  <c r="K24" i="53"/>
  <c r="K23" i="53"/>
  <c r="K22" i="53"/>
  <c r="K21" i="53"/>
  <c r="K20" i="53"/>
  <c r="K19" i="53"/>
  <c r="K18" i="53"/>
  <c r="K17" i="53"/>
  <c r="K16" i="53"/>
  <c r="K15" i="53"/>
  <c r="K14" i="53"/>
  <c r="K12" i="53"/>
  <c r="K11" i="53"/>
  <c r="K10" i="53"/>
  <c r="K9" i="53"/>
  <c r="K8" i="53"/>
  <c r="D2" i="53"/>
  <c r="E2" i="53"/>
  <c r="F2" i="53"/>
  <c r="G2" i="53"/>
  <c r="H2" i="53"/>
  <c r="I2" i="53"/>
  <c r="J2" i="53"/>
  <c r="K2" i="53"/>
  <c r="C2" i="53"/>
  <c r="K6" i="53"/>
  <c r="J6" i="53"/>
  <c r="I6" i="53"/>
  <c r="H6" i="53"/>
  <c r="G6" i="53"/>
  <c r="F6" i="53"/>
  <c r="E6" i="53"/>
  <c r="D6" i="53"/>
  <c r="C6" i="53"/>
  <c r="K5" i="53"/>
  <c r="J5" i="53"/>
  <c r="I5" i="53"/>
  <c r="H5" i="53"/>
  <c r="G5" i="53"/>
  <c r="F5" i="53"/>
  <c r="E5" i="53"/>
  <c r="D5" i="53"/>
  <c r="C5" i="53"/>
  <c r="K4" i="53"/>
  <c r="J4" i="53"/>
  <c r="I4" i="53"/>
  <c r="H4" i="53"/>
  <c r="G4" i="53"/>
  <c r="F4" i="53"/>
  <c r="E4" i="53"/>
  <c r="D4" i="53"/>
  <c r="C4" i="53"/>
  <c r="K3" i="53"/>
  <c r="J3" i="53"/>
  <c r="I3" i="53"/>
  <c r="H3" i="53"/>
  <c r="G3" i="53"/>
  <c r="F3" i="53"/>
  <c r="E3" i="53"/>
  <c r="D3" i="53"/>
  <c r="C3" i="53"/>
  <c r="A4" i="52" l="1"/>
  <c r="A5" i="52" s="1"/>
  <c r="A6" i="52"/>
  <c r="A7" i="52" s="1"/>
  <c r="A8" i="52"/>
  <c r="A9" i="52" s="1"/>
  <c r="A10" i="52"/>
  <c r="A11" i="52" s="1"/>
  <c r="A12" i="52"/>
  <c r="A13" i="52" s="1"/>
  <c r="A14" i="52"/>
  <c r="A15" i="52" s="1"/>
  <c r="A16" i="52"/>
  <c r="A17" i="52" s="1"/>
  <c r="A18" i="52"/>
  <c r="A19" i="52" s="1"/>
  <c r="A20" i="52"/>
  <c r="A21" i="52" s="1"/>
  <c r="A22" i="52"/>
  <c r="A23" i="52" s="1"/>
  <c r="A24" i="52"/>
  <c r="A25" i="52" s="1"/>
  <c r="A26" i="52"/>
  <c r="A27" i="52" s="1"/>
  <c r="A28" i="52"/>
  <c r="A29" i="52" s="1"/>
  <c r="A30" i="52"/>
  <c r="A31" i="52" s="1"/>
  <c r="A32" i="52"/>
  <c r="A33" i="52" s="1"/>
  <c r="A34" i="52"/>
  <c r="A35" i="52" s="1"/>
  <c r="A36" i="52"/>
  <c r="A37" i="52" s="1"/>
  <c r="A38" i="52"/>
  <c r="A39" i="52" s="1"/>
  <c r="A40" i="52"/>
  <c r="A41" i="52" s="1"/>
  <c r="A42" i="52"/>
  <c r="A43" i="52" s="1"/>
  <c r="A44" i="52"/>
  <c r="A45" i="52" s="1"/>
  <c r="A46" i="52"/>
  <c r="A47" i="52" s="1"/>
  <c r="A48" i="52"/>
  <c r="A49" i="52" s="1"/>
  <c r="A50" i="52"/>
  <c r="A51" i="52" s="1"/>
  <c r="A52" i="52"/>
  <c r="A53" i="52" s="1"/>
  <c r="A54" i="52"/>
  <c r="A55" i="52" s="1"/>
  <c r="A56" i="52"/>
  <c r="A57" i="52" s="1"/>
  <c r="A58" i="52"/>
  <c r="A59" i="52" s="1"/>
  <c r="A60" i="52"/>
  <c r="A61" i="52" s="1"/>
  <c r="A62" i="52"/>
  <c r="A63" i="52" s="1"/>
  <c r="A64" i="52"/>
  <c r="A65" i="52" s="1"/>
  <c r="A66" i="52"/>
  <c r="A67" i="52" s="1"/>
  <c r="A68" i="52"/>
  <c r="A69" i="52" s="1"/>
  <c r="A70" i="52"/>
  <c r="A71" i="52" s="1"/>
  <c r="A72" i="52"/>
  <c r="A73" i="52" s="1"/>
  <c r="A74" i="52"/>
  <c r="A75" i="52" s="1"/>
  <c r="A76" i="52"/>
  <c r="A77" i="52" s="1"/>
  <c r="A78" i="52"/>
  <c r="A79" i="52" s="1"/>
  <c r="A80" i="52"/>
  <c r="A81" i="52" s="1"/>
  <c r="A82" i="52"/>
  <c r="A83" i="52" s="1"/>
  <c r="A84" i="52"/>
  <c r="A85" i="52" s="1"/>
  <c r="A86" i="52"/>
  <c r="A87" i="52" s="1"/>
  <c r="A88" i="52"/>
  <c r="A89" i="52" s="1"/>
  <c r="A90" i="52"/>
  <c r="A91" i="52" s="1"/>
  <c r="A92" i="52"/>
  <c r="A93" i="52" s="1"/>
  <c r="A94" i="52"/>
  <c r="A95" i="52" s="1"/>
  <c r="A96" i="52"/>
  <c r="A97" i="52" s="1"/>
  <c r="A98" i="52"/>
  <c r="A99" i="52" s="1"/>
  <c r="A100" i="52"/>
  <c r="A101" i="52" s="1"/>
  <c r="A2" i="52"/>
  <c r="A3" i="52" s="1"/>
  <c r="C1" i="52"/>
  <c r="D1" i="52" s="1"/>
  <c r="E1" i="52" s="1"/>
  <c r="F1" i="52" s="1"/>
  <c r="G1" i="52" s="1"/>
  <c r="H1" i="52" s="1"/>
  <c r="I1" i="52" s="1"/>
  <c r="J1" i="52" s="1"/>
  <c r="K1" i="52" s="1"/>
  <c r="L1" i="52" s="1"/>
  <c r="M1" i="52" s="1"/>
  <c r="N1" i="52" s="1"/>
  <c r="O1" i="52" s="1"/>
  <c r="P1" i="52" s="1"/>
  <c r="A51" i="51" l="1"/>
  <c r="A50" i="51"/>
  <c r="A49" i="51"/>
  <c r="A48" i="51"/>
  <c r="A47" i="51"/>
  <c r="A46" i="51"/>
  <c r="A45" i="51"/>
  <c r="A44" i="51"/>
  <c r="A43" i="51"/>
  <c r="A42" i="51"/>
  <c r="A41" i="51"/>
  <c r="A40" i="51"/>
  <c r="A39" i="51"/>
  <c r="A38" i="51"/>
  <c r="A37" i="51"/>
  <c r="A36" i="51"/>
  <c r="A35" i="51"/>
  <c r="A34" i="51"/>
  <c r="A33" i="51"/>
  <c r="A32" i="51"/>
  <c r="A31" i="51"/>
  <c r="A30" i="51"/>
  <c r="A29" i="51"/>
  <c r="A28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6" i="51"/>
  <c r="A5" i="51"/>
  <c r="A4" i="51"/>
  <c r="A3" i="51"/>
  <c r="A2" i="51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A2" i="40"/>
  <c r="A3" i="36" l="1"/>
  <c r="A4" i="36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2" i="36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2" i="20"/>
  <c r="F6" i="7" l="1"/>
  <c r="E6" i="7"/>
  <c r="D6" i="7"/>
  <c r="C6" i="7"/>
  <c r="B6" i="7"/>
  <c r="F5" i="7"/>
  <c r="E5" i="7"/>
  <c r="D5" i="7"/>
  <c r="C5" i="7"/>
  <c r="B5" i="7"/>
  <c r="E2" i="46"/>
  <c r="D2" i="46"/>
  <c r="C2" i="46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5" i="1"/>
  <c r="E2" i="34"/>
  <c r="E3" i="34"/>
  <c r="E4" i="34"/>
  <c r="E5" i="34"/>
  <c r="E6" i="34"/>
  <c r="E7" i="34"/>
  <c r="E8" i="34"/>
  <c r="E9" i="34"/>
  <c r="E10" i="34"/>
  <c r="C12" i="35"/>
  <c r="C11" i="35"/>
  <c r="C10" i="35"/>
  <c r="C9" i="35"/>
  <c r="C8" i="35"/>
  <c r="C6" i="35"/>
  <c r="C5" i="35"/>
  <c r="C4" i="35"/>
  <c r="C3" i="35"/>
  <c r="C2" i="35"/>
  <c r="G3" i="2"/>
  <c r="J3" i="2" s="1"/>
  <c r="G4" i="2"/>
  <c r="G5" i="2"/>
  <c r="I5" i="2" s="1"/>
  <c r="G6" i="2"/>
  <c r="G7" i="2"/>
  <c r="J7" i="2" s="1"/>
  <c r="G8" i="2"/>
  <c r="G9" i="2"/>
  <c r="I9" i="2" s="1"/>
  <c r="G10" i="2"/>
  <c r="J10" i="2" s="1"/>
  <c r="G11" i="2"/>
  <c r="I11" i="2" s="1"/>
  <c r="G12" i="2"/>
  <c r="G13" i="2"/>
  <c r="G14" i="2"/>
  <c r="G15" i="2"/>
  <c r="I15" i="2" s="1"/>
  <c r="G2" i="2"/>
  <c r="I2" i="2" s="1"/>
  <c r="H3" i="2"/>
  <c r="H4" i="2"/>
  <c r="H5" i="2"/>
  <c r="H6" i="2"/>
  <c r="H7" i="2"/>
  <c r="H8" i="2"/>
  <c r="H9" i="2"/>
  <c r="J9" i="2"/>
  <c r="H10" i="2"/>
  <c r="H11" i="2"/>
  <c r="H12" i="2"/>
  <c r="H13" i="2"/>
  <c r="J13" i="2"/>
  <c r="H14" i="2"/>
  <c r="H15" i="2"/>
  <c r="H2" i="2"/>
  <c r="I4" i="2"/>
  <c r="I6" i="2"/>
  <c r="I8" i="2"/>
  <c r="I12" i="2"/>
  <c r="I13" i="2"/>
  <c r="C2" i="6"/>
  <c r="J6" i="2" l="1"/>
  <c r="J11" i="2"/>
  <c r="I7" i="2"/>
  <c r="I3" i="2"/>
  <c r="J14" i="2"/>
  <c r="J5" i="2"/>
  <c r="J15" i="2"/>
  <c r="J12" i="2"/>
  <c r="J8" i="2"/>
  <c r="J4" i="2"/>
  <c r="F46" i="32"/>
  <c r="F45" i="32"/>
  <c r="G49" i="32"/>
  <c r="G48" i="32"/>
  <c r="I14" i="2"/>
  <c r="I10" i="2"/>
  <c r="J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17" authorId="0" shapeId="0" xr:uid="{557A9EDC-7CFB-DA48-ACF9-EAF0009123F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1000 live births</t>
        </r>
      </text>
    </comment>
    <comment ref="B18" authorId="1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9" authorId="1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0" authorId="1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1" authorId="1" shapeId="0" xr:uid="{00000000-0006-0000-0000-000008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2" authorId="1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4" authorId="1" shapeId="0" xr:uid="{00000000-0006-0000-0000-00000A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32" authorId="1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8" authorId="1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4" authorId="1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0" authorId="1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45B4E5D3-C5DC-6B43-822A-DF0A04E4F81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Constrains the coverage % scale-up from baseline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23C0022E-2DA6-F34A-B642-FED244052CCA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data for correct appropriate comp feeding practices (cf BF practices), so this does nothing.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694EDA99-244E-BB4A-A647-FA1E07823C76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8A808577-A75B-0144-97D1-9F580110A0AD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729004FD-6257-E84B-9C28-812BE6A1F3F1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E13" authorId="0" shapeId="0" xr:uid="{482BBEAD-6F0A-B547-9966-7794BF033D2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9EB89E43-F98A-864A-89B4-C13E74D5D4C7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413E26D9-503D-6847-BF40-2972E4E3A5E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6" authorId="0" shapeId="0" xr:uid="{89B58599-E7DD-DD41-8659-D42425D0B62B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18" authorId="0" shapeId="0" xr:uid="{FA03685D-005C-0846-B590-601660DDDBA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CAA42AA1-435E-8F4A-A3C6-B774CE8D1D79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6E259C3-62CF-E94B-B67E-27D57207150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35B15DFF-6745-7041-B8E2-9B7915AEBBD7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48421AA9-4E6C-BA4F-ACD6-8D61D6AA2548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1F3264CA-604B-9645-954F-594A97FEA268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1DA6C475-4BF1-414F-82F2-29BC1B32D92D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476C5DA9-395D-614D-9279-AF49765064BF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408EE65-2ED7-8B47-8E38-2B3BBE600F79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3" authorId="1" shapeId="0" xr:uid="{BC473F02-B4F5-4443-A4B3-0A5301E147E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CDF8EDD3-9D2C-C94F-9A96-C217FA974A0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FCCDCA15-E9F3-3143-9E35-3C0E043EA3C4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4EDF892C-6303-0B42-8398-B60D84CEE514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4" authorId="1" shapeId="0" xr:uid="{560E82D8-3EA7-744E-95CD-6DBE58CEAC4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B8EF8900-761E-834A-804C-4B4853A2ADFB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C115F1CC-DFDC-CF4D-9C7C-4885D785BD31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F60C505A-A68E-3E42-8747-55FFF5E32F6D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5" authorId="1" shapeId="0" xr:uid="{CAD005AC-04BE-AF45-A421-C1FC7BF343B7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BF87C44E-35C9-AF42-833C-E902015E073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26737111-B8E3-2C4A-85D1-0502F7CF22D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2C7DF4B2-B1A6-FA49-A658-7E7991032A79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8CC94EB9-9AFC-5541-927E-4106C7C24D96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Effect on iron-deficiency anemia</t>
        </r>
      </text>
    </comment>
    <comment ref="E24" authorId="1" shapeId="0" xr:uid="{70D507FB-4F0E-0847-806F-0CAA6976EE34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E35C153B-08B7-BE4D-BD8D-50B9B7FE9C8B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366947C2-6F3E-3D4B-BB8E-D21B0EF78FDB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this number up
</t>
        </r>
      </text>
    </comment>
    <comment ref="B28" authorId="1" shapeId="0" xr:uid="{B56FD4D9-6DE4-C84D-958C-52FC53419D55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Same effect as iron fortification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86083A46-F780-884F-8297-9B656AE8BC5D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801E475A-A09C-4C4C-BDA8-6F78E43056C3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Probably can delete</t>
        </r>
      </text>
    </comment>
    <comment ref="F7" authorId="0" shapeId="0" xr:uid="{F98FCE14-5B95-B348-8CBC-465F7B86899B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FBA67EE0-9943-E844-85D4-1286F9D3607C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8BBFA269-CED1-2949-AD4C-1FEA16B01A6D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A0709429-C3F7-D446-A27E-2F669382DEF9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3FA8999C-54C3-814D-B884-E2938BF1AF53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F5301BF4-C4A0-1E40-AFA1-DA541FC3AFB2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G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H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4" authorId="0" shapeId="0" xr:uid="{00000000-0006-0000-15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Frac poor
</t>
        </r>
      </text>
    </comment>
    <comment ref="B9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3" authorId="0" shapeId="0" xr:uid="{00000000-0006-0000-15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food insecure</t>
        </r>
      </text>
    </comment>
    <comment ref="B17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8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0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7" authorId="0" shapeId="0" xr:uid="{00000000-0006-0000-15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LiST, includes mild</t>
        </r>
      </text>
    </comment>
    <comment ref="L6" authorId="1" shapeId="0" xr:uid="{00000000-0006-0000-04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LiST, includes mild</t>
        </r>
      </text>
    </comment>
    <comment ref="C7" authorId="1" shapeId="0" xr:uid="{00000000-0006-0000-0400-00000C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C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23346EFD-4189-EF43-A459-E751506B5D0B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sharedStrings.xml><?xml version="1.0" encoding="utf-8"?>
<sst xmlns="http://schemas.openxmlformats.org/spreadsheetml/2006/main" count="1260" uniqueCount="267">
  <si>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</si>
  <si>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</si>
  <si>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</si>
  <si>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</si>
  <si>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</si>
  <si>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</si>
  <si>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</si>
  <si>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</si>
  <si>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</si>
  <si>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</si>
  <si>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</si>
  <si>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</si>
  <si>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</si>
  <si>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</si>
  <si>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</si>
  <si>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</si>
  <si>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</si>
  <si>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</si>
  <si>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</si>
  <si>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</si>
  <si>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</si>
  <si>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</si>
  <si>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</si>
  <si>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</si>
  <si>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</si>
  <si>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</si>
  <si>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</si>
  <si>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</si>
  <si>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</si>
  <si>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</si>
  <si>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</si>
  <si>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</si>
  <si>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</si>
  <si>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</si>
  <si>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</si>
  <si>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</si>
  <si>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</si>
  <si>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</si>
  <si>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</si>
  <si>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</si>
  <si>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</si>
  <si>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</si>
  <si>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</si>
  <si>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</si>
  <si>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</si>
  <si>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</si>
  <si>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</si>
  <si>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</si>
  <si>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</si>
  <si>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</si>
  <si>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</si>
  <si>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</si>
  <si>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</si>
  <si>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</si>
  <si>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</si>
  <si>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</si>
  <si>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</si>
  <si>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</si>
  <si>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</si>
  <si>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</si>
  <si>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</si>
  <si>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</si>
  <si>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</si>
  <si>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</si>
  <si>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</si>
  <si>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</si>
  <si>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</si>
  <si>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</si>
  <si>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</si>
  <si>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</si>
  <si>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</si>
  <si>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</si>
  <si>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</si>
  <si>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</si>
  <si>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</si>
  <si>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</si>
  <si>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</si>
  <si>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</si>
  <si>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</si>
  <si>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</si>
  <si>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</si>
  <si>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</si>
  <si>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</si>
  <si>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</si>
  <si>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</si>
  <si>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</si>
  <si>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</si>
  <si>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</si>
  <si>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</si>
  <si>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</si>
  <si>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</si>
  <si>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</si>
  <si>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</si>
  <si>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</si>
  <si>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</si>
  <si>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</si>
  <si>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</si>
  <si>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</si>
  <si>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</si>
  <si>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</si>
  <si>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</si>
  <si>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</si>
  <si>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</si>
  <si>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</si>
  <si>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</si>
  <si>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</si>
  <si>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</si>
  <si>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</si>
  <si>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</si>
  <si>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</si>
  <si>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</si>
  <si>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</si>
  <si>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</si>
  <si>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</si>
  <si>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</si>
  <si>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</si>
  <si>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</si>
  <si>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</si>
  <si>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</si>
  <si>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</si>
  <si>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</si>
  <si>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</si>
  <si>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</si>
  <si>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</si>
  <si>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</si>
  <si>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</si>
  <si>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</si>
  <si>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</si>
  <si>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</si>
  <si>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</si>
  <si>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</si>
  <si>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</si>
  <si>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</si>
  <si>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</si>
  <si>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</si>
  <si>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</si>
  <si>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</si>
  <si>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</si>
  <si>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</si>
  <si>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</si>
  <si>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</si>
  <si>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</si>
  <si>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</si>
  <si>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</si>
  <si>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</si>
  <si>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</si>
  <si>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</si>
  <si>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</si>
  <si>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</si>
  <si>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</si>
  <si>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</si>
  <si>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</si>
  <si>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</si>
  <si>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</si>
  <si>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</si>
  <si>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</si>
  <si>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</si>
  <si>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</si>
  <si>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</si>
  <si>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</si>
  <si>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</si>
  <si>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</si>
  <si>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</si>
  <si>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</si>
  <si>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</si>
  <si>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</si>
  <si>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</si>
  <si>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</si>
  <si>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</si>
  <si>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</si>
  <si>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</si>
  <si>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</si>
  <si>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</si>
  <si>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</si>
  <si>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</si>
  <si>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</si>
  <si>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</si>
  <si>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</si>
  <si>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</si>
  <si>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</si>
  <si>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</si>
  <si>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</si>
  <si>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</si>
  <si>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</si>
  <si>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</si>
  <si>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</si>
  <si>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</si>
  <si>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</si>
  <si>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</si>
  <si>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</si>
  <si>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</si>
  <si>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</si>
  <si>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</si>
  <si>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</si>
  <si>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</si>
  <si>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</si>
  <si>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</si>
  <si>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</si>
  <si>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</si>
  <si>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</si>
  <si>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</si>
  <si>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</si>
  <si>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</si>
  <si>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</si>
  <si>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</si>
  <si>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</si>
  <si>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</si>
  <si>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</si>
  <si>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</si>
  <si>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</si>
  <si>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</si>
  <si>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</si>
  <si>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</si>
  <si>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</si>
  <si>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</si>
  <si>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</si>
  <si>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</si>
  <si>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</si>
  <si>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</si>
  <si>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</si>
  <si>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</si>
  <si>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</si>
  <si>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</si>
  <si>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</si>
  <si>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</si>
  <si>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</si>
  <si>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</si>
  <si>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</si>
  <si>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</si>
  <si>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</si>
  <si>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</si>
  <si>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</si>
  <si>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</si>
  <si>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</si>
  <si>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</si>
  <si>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</si>
  <si>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</si>
  <si>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</si>
  <si>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</si>
  <si>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</si>
  <si>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</si>
  <si>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</si>
  <si>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</si>
  <si>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</si>
  <si>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</si>
  <si>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</si>
  <si>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</si>
  <si>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</si>
  <si>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</si>
  <si>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</si>
  <si>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</si>
  <si>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</si>
  <si>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</si>
  <si>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</si>
  <si>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</si>
  <si>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</si>
  <si>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</si>
  <si>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</si>
  <si>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</si>
  <si>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</si>
  <si>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</si>
  <si>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</si>
  <si>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Maximum annual scale-up</t>
  </si>
  <si>
    <t>Spending</t>
  </si>
  <si>
    <t>Field</t>
  </si>
  <si>
    <t>Coverage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</si>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</sst>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3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0" fillId="5" borderId="0" xfId="0" applyFont="1" applyFill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0" fillId="0" borderId="0" xfId="9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8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9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7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9" borderId="0" xfId="0" applyFont="1" applyFill="1" applyBorder="1" applyAlignment="1">
      <alignment horizontal="left" vertical="top" wrapText="1"/>
    </xf>
    <xf numFmtId="0" fontId="4" fillId="9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Border="1" applyAlignment="1"/>
    <xf numFmtId="0" fontId="0" fillId="11" borderId="0" xfId="0" applyFont="1" applyFill="1" applyBorder="1" applyAlignment="1"/>
    <xf numFmtId="0" fontId="0" fillId="12" borderId="0" xfId="0" applyFont="1" applyFill="1" applyBorder="1" applyAlignment="1"/>
    <xf numFmtId="166" fontId="13" fillId="5" borderId="1" xfId="10" applyNumberFormat="1" applyFont="1" applyFill="1" applyBorder="1" applyAlignment="1"/>
    <xf numFmtId="164" fontId="13" fillId="5" borderId="1" xfId="10" applyNumberFormat="1" applyFont="1" applyFill="1" applyBorder="1" applyAlignment="1"/>
    <xf numFmtId="3" fontId="24" fillId="5" borderId="1" xfId="0" applyNumberFormat="1" applyFont="1" applyFill="1" applyBorder="1" applyAlignment="1">
      <alignment horizontal="right"/>
    </xf>
    <xf numFmtId="164" fontId="14" fillId="5" borderId="0" xfId="0" applyNumberFormat="1" applyFont="1" applyFill="1" applyAlignment="1"/>
    <xf numFmtId="164" fontId="14" fillId="5" borderId="0" xfId="9" applyNumberFormat="1" applyFont="1" applyFill="1" applyAlignment="1"/>
    <xf numFmtId="10" fontId="14" fillId="5" borderId="0" xfId="10" applyNumberFormat="1" applyFont="1" applyFill="1" applyAlignment="1"/>
    <xf numFmtId="0" fontId="13" fillId="0" borderId="0" xfId="0" applyFont="1" applyAlignment="1">
      <alignment horizontal="center" vertical="center"/>
    </xf>
    <xf numFmtId="0" fontId="0" fillId="5" borderId="1" xfId="0" applyFont="1" applyFill="1" applyBorder="1" applyAlignment="1"/>
    <xf numFmtId="10" fontId="0" fillId="5" borderId="0" xfId="0" applyNumberFormat="1" applyFont="1" applyFill="1" applyAlignment="1"/>
    <xf numFmtId="0" fontId="13" fillId="4" borderId="0" xfId="0" applyFont="1" applyFill="1" applyAlignment="1"/>
    <xf numFmtId="0" fontId="5" fillId="0" borderId="0" xfId="0" applyFont="1" applyFill="1" applyAlignment="1"/>
    <xf numFmtId="0" fontId="4" fillId="13" borderId="0" xfId="0" applyFont="1" applyFill="1" applyAlignment="1"/>
    <xf numFmtId="0" fontId="0" fillId="13" borderId="0" xfId="0" applyFont="1" applyFill="1" applyAlignment="1"/>
    <xf numFmtId="4" fontId="4" fillId="13" borderId="0" xfId="0" applyNumberFormat="1" applyFont="1" applyFill="1"/>
    <xf numFmtId="4" fontId="4" fillId="13" borderId="0" xfId="0" applyNumberFormat="1" applyFont="1" applyFill="1" applyAlignment="1"/>
    <xf numFmtId="2" fontId="4" fillId="5" borderId="0" xfId="0" applyNumberFormat="1" applyFont="1" applyFill="1" applyAlignment="1">
      <alignment horizontal="center"/>
    </xf>
    <xf numFmtId="2" fontId="0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6" fillId="13" borderId="0" xfId="0" applyFont="1" applyFill="1" applyAlignment="1">
      <alignment horizontal="right"/>
    </xf>
    <xf numFmtId="0" fontId="7" fillId="13" borderId="0" xfId="0" applyFont="1" applyFill="1" applyAlignment="1">
      <alignment horizontal="right"/>
    </xf>
    <xf numFmtId="1" fontId="0" fillId="13" borderId="0" xfId="0" applyNumberFormat="1" applyFont="1" applyFill="1" applyAlignment="1"/>
    <xf numFmtId="165" fontId="0" fillId="13" borderId="0" xfId="0" applyNumberFormat="1" applyFont="1" applyFill="1" applyAlignment="1"/>
    <xf numFmtId="0" fontId="4" fillId="5" borderId="1" xfId="0" applyFont="1" applyFill="1" applyBorder="1" applyAlignment="1"/>
    <xf numFmtId="2" fontId="0" fillId="13" borderId="0" xfId="0" applyNumberFormat="1" applyFont="1" applyFill="1" applyAlignment="1"/>
    <xf numFmtId="0" fontId="4" fillId="13" borderId="0" xfId="0" applyFont="1" applyFill="1"/>
    <xf numFmtId="0" fontId="4" fillId="13" borderId="0" xfId="0" applyNumberFormat="1" applyFont="1" applyFill="1" applyBorder="1" applyAlignment="1">
      <alignment horizontal="right" wrapText="1"/>
    </xf>
    <xf numFmtId="0" fontId="4" fillId="13" borderId="0" xfId="0" applyNumberFormat="1" applyFont="1" applyFill="1" applyBorder="1" applyAlignment="1">
      <alignment horizontal="right" vertical="center" wrapText="1"/>
    </xf>
    <xf numFmtId="1" fontId="13" fillId="2" borderId="1" xfId="0" applyNumberFormat="1" applyFont="1" applyFill="1" applyBorder="1" applyAlignment="1">
      <alignment horizontal="right"/>
    </xf>
    <xf numFmtId="0" fontId="13" fillId="13" borderId="1" xfId="0" applyFont="1" applyFill="1" applyBorder="1" applyAlignment="1"/>
    <xf numFmtId="2" fontId="4" fillId="4" borderId="0" xfId="0" applyNumberFormat="1" applyFont="1" applyFill="1" applyAlignment="1">
      <alignment horizontal="center"/>
    </xf>
    <xf numFmtId="0" fontId="4" fillId="13" borderId="0" xfId="0" applyFont="1" applyFill="1" applyAlignment="1">
      <alignment horizontal="right"/>
    </xf>
    <xf numFmtId="0" fontId="4" fillId="14" borderId="0" xfId="0" applyFont="1" applyFill="1" applyAlignment="1"/>
    <xf numFmtId="0" fontId="4" fillId="14" borderId="0" xfId="0" applyFont="1" applyFill="1" applyAlignment="1">
      <alignment horizontal="right"/>
    </xf>
    <xf numFmtId="4" fontId="4" fillId="13" borderId="0" xfId="0" applyNumberFormat="1" applyFont="1" applyFill="1" applyBorder="1"/>
    <xf numFmtId="10" fontId="13" fillId="5" borderId="1" xfId="10" applyNumberFormat="1" applyFont="1" applyFill="1" applyBorder="1" applyAlignment="1"/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E56"/>
  <sheetViews>
    <sheetView tabSelected="1" zoomScale="125" workbookViewId="0">
      <selection activeCell="C28" sqref="C28"/>
    </sheetView>
    <sheetView workbookViewId="1"/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7" t="s">
        <v>93</v>
      </c>
      <c r="B1" s="7" t="s">
        <v>56</v>
      </c>
      <c r="C1" s="7" t="s">
        <v>94</v>
      </c>
    </row>
    <row r="2" spans="1:3" ht="16" customHeight="1" x14ac:dyDescent="0.15">
      <c r="A2" s="1" t="s">
        <v>57</v>
      </c>
      <c r="B2" t="s">
        <v>0</v>
      </c>
      <c r="C2" s="130">
        <v>2016</v>
      </c>
    </row>
    <row r="3" spans="1:3" ht="15.75" customHeight="1" x14ac:dyDescent="0.15">
      <c r="B3" s="4" t="s">
        <v>1</v>
      </c>
      <c r="C3" s="13">
        <v>15204000</v>
      </c>
    </row>
    <row r="4" spans="1:3" ht="15.75" customHeight="1" x14ac:dyDescent="0.15">
      <c r="B4" s="4" t="s">
        <v>3</v>
      </c>
      <c r="C4" s="13">
        <v>3118117</v>
      </c>
    </row>
    <row r="5" spans="1:3" ht="15.75" customHeight="1" x14ac:dyDescent="0.15">
      <c r="B5" s="4" t="s">
        <v>4</v>
      </c>
      <c r="C5" s="104">
        <f>(C4+C4*C19/(1000-C19))/(1-C18)</f>
        <v>3677298.8269880489</v>
      </c>
    </row>
    <row r="6" spans="1:3" ht="15.75" customHeight="1" x14ac:dyDescent="0.15">
      <c r="B6" s="21" t="s">
        <v>63</v>
      </c>
      <c r="C6" s="15">
        <v>0.35199999999999998</v>
      </c>
    </row>
    <row r="7" spans="1:3" ht="15.75" customHeight="1" x14ac:dyDescent="0.15">
      <c r="B7" s="4" t="s">
        <v>62</v>
      </c>
      <c r="C7" s="14">
        <v>0.36</v>
      </c>
    </row>
    <row r="8" spans="1:3" ht="15.75" customHeight="1" x14ac:dyDescent="0.15">
      <c r="B8" s="21" t="s">
        <v>64</v>
      </c>
      <c r="C8" s="15">
        <v>0.1</v>
      </c>
    </row>
    <row r="9" spans="1:3" ht="15.75" customHeight="1" x14ac:dyDescent="0.15">
      <c r="B9" s="4" t="s">
        <v>170</v>
      </c>
      <c r="C9" s="15">
        <v>0.5</v>
      </c>
    </row>
    <row r="10" spans="1:3" ht="15.75" customHeight="1" x14ac:dyDescent="0.15">
      <c r="B10" s="4" t="s">
        <v>171</v>
      </c>
      <c r="C10" s="15">
        <v>0.3</v>
      </c>
    </row>
    <row r="11" spans="1:3" ht="15.75" customHeight="1" x14ac:dyDescent="0.15">
      <c r="B11" s="4" t="s">
        <v>172</v>
      </c>
      <c r="C11" s="15">
        <v>0.1</v>
      </c>
    </row>
    <row r="12" spans="1:3" ht="13" x14ac:dyDescent="0.15">
      <c r="B12" t="s">
        <v>213</v>
      </c>
      <c r="C12" s="131">
        <v>0.9</v>
      </c>
    </row>
    <row r="13" spans="1:3" ht="13" x14ac:dyDescent="0.15">
      <c r="B13" t="s">
        <v>214</v>
      </c>
      <c r="C13" s="131">
        <v>0.1</v>
      </c>
    </row>
    <row r="14" spans="1:3" ht="13" x14ac:dyDescent="0.15">
      <c r="B14" s="4" t="s">
        <v>219</v>
      </c>
      <c r="C14" s="15">
        <v>0.2</v>
      </c>
    </row>
    <row r="15" spans="1:3" ht="13" x14ac:dyDescent="0.15">
      <c r="B15" s="4"/>
      <c r="C15" s="37"/>
    </row>
    <row r="16" spans="1:3" ht="13" x14ac:dyDescent="0.15">
      <c r="B16" s="4"/>
      <c r="C16" s="37"/>
    </row>
    <row r="17" spans="1:5" ht="15.75" customHeight="1" x14ac:dyDescent="0.15">
      <c r="A17" s="7" t="s">
        <v>102</v>
      </c>
      <c r="B17" t="s">
        <v>181</v>
      </c>
      <c r="C17" s="15">
        <f>176/100</f>
        <v>1.76</v>
      </c>
    </row>
    <row r="18" spans="1:5" ht="15.75" customHeight="1" x14ac:dyDescent="0.15">
      <c r="B18" t="s">
        <v>100</v>
      </c>
      <c r="C18" s="15">
        <v>0.13</v>
      </c>
    </row>
    <row r="19" spans="1:5" ht="15.75" customHeight="1" x14ac:dyDescent="0.15">
      <c r="B19" t="s">
        <v>101</v>
      </c>
      <c r="C19" s="15">
        <v>25.36</v>
      </c>
    </row>
    <row r="20" spans="1:5" ht="15.75" customHeight="1" x14ac:dyDescent="0.15">
      <c r="B20" t="s">
        <v>182</v>
      </c>
      <c r="C20" s="15">
        <v>25.4</v>
      </c>
    </row>
    <row r="21" spans="1:5" ht="15.75" customHeight="1" x14ac:dyDescent="0.15">
      <c r="B21" t="s">
        <v>183</v>
      </c>
      <c r="C21" s="15">
        <v>34.68</v>
      </c>
    </row>
    <row r="22" spans="1:5" ht="15.75" customHeight="1" x14ac:dyDescent="0.15">
      <c r="B22" t="s">
        <v>184</v>
      </c>
      <c r="C22" s="15">
        <v>39.32</v>
      </c>
    </row>
    <row r="24" spans="1:5" ht="15.75" customHeight="1" x14ac:dyDescent="0.15">
      <c r="B24" s="7"/>
      <c r="C24" s="1"/>
    </row>
    <row r="25" spans="1:5" ht="15.75" customHeight="1" x14ac:dyDescent="0.15">
      <c r="A25" s="7" t="s">
        <v>66</v>
      </c>
      <c r="B25" s="21" t="s">
        <v>68</v>
      </c>
      <c r="C25" s="15">
        <v>0.3</v>
      </c>
    </row>
    <row r="26" spans="1:5" ht="15.75" customHeight="1" x14ac:dyDescent="0.15">
      <c r="B26" s="21" t="s">
        <v>88</v>
      </c>
      <c r="C26" s="15">
        <v>0.8</v>
      </c>
    </row>
    <row r="27" spans="1:5" ht="15.75" customHeight="1" x14ac:dyDescent="0.15">
      <c r="B27" s="21" t="s">
        <v>89</v>
      </c>
      <c r="C27" s="15">
        <v>0.12</v>
      </c>
    </row>
    <row r="28" spans="1:5" ht="15.75" customHeight="1" x14ac:dyDescent="0.15">
      <c r="B28" s="21" t="s">
        <v>90</v>
      </c>
      <c r="C28" s="15">
        <v>0.05</v>
      </c>
    </row>
    <row r="29" spans="1:5" ht="15.75" customHeight="1" x14ac:dyDescent="0.15">
      <c r="B29" s="21" t="s">
        <v>67</v>
      </c>
      <c r="C29" s="15">
        <v>0.05</v>
      </c>
    </row>
    <row r="31" spans="1:5" ht="15.75" customHeight="1" x14ac:dyDescent="0.15">
      <c r="B31" s="21"/>
    </row>
    <row r="32" spans="1:5" ht="15.75" customHeight="1" x14ac:dyDescent="0.2">
      <c r="A32" s="7" t="s">
        <v>99</v>
      </c>
      <c r="B32" s="62" t="s">
        <v>104</v>
      </c>
      <c r="C32" s="28">
        <v>8634000</v>
      </c>
      <c r="D32" s="69"/>
      <c r="E32" s="68"/>
    </row>
    <row r="33" spans="1:5" ht="15" customHeight="1" x14ac:dyDescent="0.2">
      <c r="B33" s="62" t="s">
        <v>105</v>
      </c>
      <c r="C33" s="28">
        <v>13550000</v>
      </c>
      <c r="D33" s="69"/>
      <c r="E33" s="69"/>
    </row>
    <row r="34" spans="1:5" ht="15.75" customHeight="1" x14ac:dyDescent="0.2">
      <c r="B34" s="62" t="s">
        <v>106</v>
      </c>
      <c r="C34" s="70">
        <v>12394000</v>
      </c>
      <c r="D34" s="69"/>
    </row>
    <row r="35" spans="1:5" ht="15.75" customHeight="1" x14ac:dyDescent="0.2">
      <c r="B35" s="62" t="s">
        <v>107</v>
      </c>
      <c r="C35" s="28">
        <v>9148000</v>
      </c>
      <c r="D35" s="36"/>
    </row>
    <row r="36" spans="1:5" ht="15.75" customHeight="1" x14ac:dyDescent="0.2">
      <c r="B36" s="62"/>
      <c r="C36" s="71"/>
      <c r="D36" s="69"/>
    </row>
    <row r="37" spans="1:5" ht="15.75" customHeight="1" x14ac:dyDescent="0.2">
      <c r="B37" s="62"/>
      <c r="C37" s="71"/>
      <c r="D37" s="69"/>
    </row>
    <row r="38" spans="1:5" ht="15.75" customHeight="1" x14ac:dyDescent="0.2">
      <c r="A38" s="7" t="s">
        <v>202</v>
      </c>
      <c r="B38" s="62" t="s">
        <v>104</v>
      </c>
      <c r="C38" s="103">
        <f>INDEX(WRAPop,1) - INDEX(PWPop,1)</f>
        <v>7531583.5695012193</v>
      </c>
      <c r="D38" s="69"/>
      <c r="E38" s="68"/>
    </row>
    <row r="39" spans="1:5" ht="15" customHeight="1" x14ac:dyDescent="0.2">
      <c r="B39" s="62" t="s">
        <v>105</v>
      </c>
      <c r="C39" s="103">
        <f>INDEX(WRAPop,2) - INDEX(PWPop,2)</f>
        <v>11617337.925466225</v>
      </c>
      <c r="D39" s="69"/>
      <c r="E39" s="69"/>
    </row>
    <row r="40" spans="1:5" ht="15.75" customHeight="1" x14ac:dyDescent="0.2">
      <c r="B40" s="62" t="s">
        <v>106</v>
      </c>
      <c r="C40" s="103">
        <f>INDEX(WRAPop,3) - INDEX(PWPop,3)</f>
        <v>11797902.113393042</v>
      </c>
      <c r="D40" s="69"/>
    </row>
    <row r="41" spans="1:5" ht="15.75" customHeight="1" x14ac:dyDescent="0.2">
      <c r="B41" s="62" t="s">
        <v>107</v>
      </c>
      <c r="C41" s="103">
        <f>INDEX(WRAPop,4) - INDEX(PWPop,4)</f>
        <v>9101877.564651465</v>
      </c>
      <c r="D41" s="69"/>
    </row>
    <row r="42" spans="1:5" ht="15.75" customHeight="1" x14ac:dyDescent="0.2">
      <c r="B42" s="62"/>
      <c r="C42" s="29"/>
      <c r="D42" s="69"/>
    </row>
    <row r="43" spans="1:5" ht="15" customHeight="1" x14ac:dyDescent="0.2">
      <c r="B43" s="27"/>
      <c r="C43" s="29"/>
    </row>
    <row r="44" spans="1:5" ht="15.75" customHeight="1" x14ac:dyDescent="0.2">
      <c r="A44" s="7" t="s">
        <v>201</v>
      </c>
      <c r="B44" s="62" t="s">
        <v>108</v>
      </c>
      <c r="C44" s="102">
        <f>INDEX(PWDist, 1)*NumPW</f>
        <v>1102416.4304987811</v>
      </c>
    </row>
    <row r="45" spans="1:5" ht="15.75" customHeight="1" x14ac:dyDescent="0.2">
      <c r="B45" s="62" t="s">
        <v>109</v>
      </c>
      <c r="C45" s="102">
        <f>INDEX(PWDist, 2)*NumPW</f>
        <v>1932662.074533775</v>
      </c>
    </row>
    <row r="46" spans="1:5" ht="15.75" customHeight="1" x14ac:dyDescent="0.2">
      <c r="B46" s="62" t="s">
        <v>110</v>
      </c>
      <c r="C46" s="102">
        <f>INDEX(PWDist, 3)*NumPW</f>
        <v>596097.88660695858</v>
      </c>
    </row>
    <row r="47" spans="1:5" ht="15.75" customHeight="1" x14ac:dyDescent="0.2">
      <c r="B47" s="62" t="s">
        <v>111</v>
      </c>
      <c r="C47" s="102">
        <f>INDEX(PWDist, 4)*NumPW</f>
        <v>46122.435348534098</v>
      </c>
    </row>
    <row r="50" spans="1:3" ht="15.75" customHeight="1" x14ac:dyDescent="0.2">
      <c r="A50" s="7" t="s">
        <v>97</v>
      </c>
      <c r="B50" s="62" t="s">
        <v>108</v>
      </c>
      <c r="C50" s="24">
        <v>0.29978973218277538</v>
      </c>
    </row>
    <row r="51" spans="1:3" ht="15.75" customHeight="1" x14ac:dyDescent="0.2">
      <c r="B51" s="62" t="s">
        <v>109</v>
      </c>
      <c r="C51" s="24">
        <v>0.52556568434139284</v>
      </c>
    </row>
    <row r="52" spans="1:3" ht="15.75" customHeight="1" x14ac:dyDescent="0.2">
      <c r="B52" s="62" t="s">
        <v>110</v>
      </c>
      <c r="C52" s="24">
        <v>0.16210210664201097</v>
      </c>
    </row>
    <row r="53" spans="1:3" ht="15.75" customHeight="1" x14ac:dyDescent="0.2">
      <c r="B53" s="62" t="s">
        <v>111</v>
      </c>
      <c r="C53" s="24">
        <v>1.2542476833820825E-2</v>
      </c>
    </row>
    <row r="56" spans="1:3" ht="15.75" customHeight="1" x14ac:dyDescent="0.15">
      <c r="A56" s="7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-0.249977111117893"/>
  </sheetPr>
  <dimension ref="A1:E21"/>
  <sheetViews>
    <sheetView zoomScale="178" workbookViewId="0">
      <selection activeCell="C33" sqref="C33"/>
    </sheetView>
    <sheetView workbookViewId="1"/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7" t="s">
        <v>153</v>
      </c>
      <c r="B1" s="7" t="s">
        <v>152</v>
      </c>
      <c r="C1" s="7" t="s">
        <v>146</v>
      </c>
      <c r="D1" s="7" t="s">
        <v>147</v>
      </c>
      <c r="E1" s="7" t="s">
        <v>157</v>
      </c>
    </row>
    <row r="2" spans="1:5" x14ac:dyDescent="0.15">
      <c r="A2" s="50" t="s">
        <v>154</v>
      </c>
      <c r="B2" s="51" t="s">
        <v>70</v>
      </c>
      <c r="C2" s="51"/>
      <c r="D2" s="51"/>
      <c r="E2" s="52"/>
    </row>
    <row r="3" spans="1:5" x14ac:dyDescent="0.15">
      <c r="A3" s="53"/>
      <c r="B3" s="100" t="s">
        <v>6</v>
      </c>
      <c r="C3" s="100"/>
      <c r="D3" s="100" t="s">
        <v>158</v>
      </c>
      <c r="E3" s="55"/>
    </row>
    <row r="4" spans="1:5" x14ac:dyDescent="0.15">
      <c r="A4" s="53"/>
      <c r="B4" s="100" t="s">
        <v>7</v>
      </c>
      <c r="C4" s="100"/>
      <c r="D4" s="100" t="s">
        <v>158</v>
      </c>
      <c r="E4" s="55"/>
    </row>
    <row r="5" spans="1:5" x14ac:dyDescent="0.15">
      <c r="A5" s="53"/>
      <c r="B5" s="101" t="s">
        <v>8</v>
      </c>
      <c r="C5" s="101"/>
      <c r="D5" s="101" t="s">
        <v>158</v>
      </c>
      <c r="E5" s="55"/>
    </row>
    <row r="6" spans="1:5" x14ac:dyDescent="0.15">
      <c r="A6" s="53"/>
      <c r="B6" s="101" t="s">
        <v>9</v>
      </c>
      <c r="C6" s="101"/>
      <c r="D6" s="101" t="s">
        <v>158</v>
      </c>
      <c r="E6" s="55"/>
    </row>
    <row r="7" spans="1:5" x14ac:dyDescent="0.15">
      <c r="A7" s="56"/>
      <c r="B7" s="57" t="s">
        <v>92</v>
      </c>
      <c r="C7" s="58"/>
      <c r="D7" s="58"/>
      <c r="E7" s="59"/>
    </row>
    <row r="9" spans="1:5" x14ac:dyDescent="0.15">
      <c r="A9" s="50" t="s">
        <v>155</v>
      </c>
      <c r="B9" s="51" t="s">
        <v>70</v>
      </c>
      <c r="C9" s="51"/>
      <c r="D9" s="51"/>
      <c r="E9" s="52"/>
    </row>
    <row r="10" spans="1:5" x14ac:dyDescent="0.15">
      <c r="A10" s="53"/>
      <c r="B10" s="100" t="s">
        <v>6</v>
      </c>
      <c r="C10" s="100"/>
      <c r="D10" s="100"/>
      <c r="E10" s="55"/>
    </row>
    <row r="11" spans="1:5" x14ac:dyDescent="0.15">
      <c r="A11" s="53"/>
      <c r="B11" s="100" t="s">
        <v>7</v>
      </c>
      <c r="C11" s="100"/>
      <c r="D11" s="100"/>
      <c r="E11" s="55"/>
    </row>
    <row r="12" spans="1:5" x14ac:dyDescent="0.15">
      <c r="A12" s="53"/>
      <c r="B12" s="101" t="s">
        <v>8</v>
      </c>
      <c r="C12" s="101"/>
      <c r="D12" s="101"/>
      <c r="E12" s="55"/>
    </row>
    <row r="13" spans="1:5" x14ac:dyDescent="0.15">
      <c r="A13" s="53"/>
      <c r="B13" s="101" t="s">
        <v>9</v>
      </c>
      <c r="C13" s="101"/>
      <c r="D13" s="101"/>
      <c r="E13" s="55"/>
    </row>
    <row r="14" spans="1:5" x14ac:dyDescent="0.15">
      <c r="A14" s="56"/>
      <c r="B14" s="57" t="s">
        <v>92</v>
      </c>
      <c r="C14" s="58"/>
      <c r="D14" s="58"/>
      <c r="E14" s="59"/>
    </row>
    <row r="16" spans="1:5" x14ac:dyDescent="0.15">
      <c r="A16" s="50" t="s">
        <v>156</v>
      </c>
      <c r="B16" s="51" t="s">
        <v>70</v>
      </c>
      <c r="C16" s="51"/>
      <c r="D16" s="51"/>
      <c r="E16" s="52"/>
    </row>
    <row r="17" spans="1:5" x14ac:dyDescent="0.15">
      <c r="A17" s="53"/>
      <c r="B17" s="100" t="s">
        <v>6</v>
      </c>
      <c r="C17" s="100"/>
      <c r="D17" s="100"/>
      <c r="E17" s="55"/>
    </row>
    <row r="18" spans="1:5" x14ac:dyDescent="0.15">
      <c r="A18" s="53"/>
      <c r="B18" s="100" t="s">
        <v>7</v>
      </c>
      <c r="C18" s="100"/>
      <c r="D18" s="100"/>
      <c r="E18" s="55"/>
    </row>
    <row r="19" spans="1:5" x14ac:dyDescent="0.15">
      <c r="A19" s="53"/>
      <c r="B19" s="101" t="s">
        <v>8</v>
      </c>
      <c r="C19" s="101"/>
      <c r="D19" s="101"/>
      <c r="E19" s="55"/>
    </row>
    <row r="20" spans="1:5" x14ac:dyDescent="0.15">
      <c r="A20" s="53"/>
      <c r="B20" s="101" t="s">
        <v>9</v>
      </c>
      <c r="C20" s="101"/>
      <c r="D20" s="101"/>
      <c r="E20" s="55"/>
    </row>
    <row r="21" spans="1:5" x14ac:dyDescent="0.15">
      <c r="A21" s="56"/>
      <c r="B21" s="57" t="s">
        <v>92</v>
      </c>
      <c r="C21" s="58"/>
      <c r="D21" s="58"/>
      <c r="E21" s="5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-0.249977111117893"/>
  </sheetPr>
  <dimension ref="A1:E12"/>
  <sheetViews>
    <sheetView workbookViewId="0">
      <selection activeCell="C13" sqref="C13"/>
    </sheetView>
    <sheetView workbookViewId="1"/>
  </sheetViews>
  <sheetFormatPr baseColWidth="10" defaultRowHeight="13" x14ac:dyDescent="0.15"/>
  <cols>
    <col min="1" max="1" width="18" customWidth="1"/>
  </cols>
  <sheetData>
    <row r="1" spans="1:5" x14ac:dyDescent="0.15">
      <c r="A1" s="7" t="s">
        <v>174</v>
      </c>
      <c r="B1" s="7" t="s">
        <v>152</v>
      </c>
      <c r="C1" s="7" t="s">
        <v>146</v>
      </c>
      <c r="D1" s="7" t="s">
        <v>147</v>
      </c>
      <c r="E1" s="7" t="s">
        <v>157</v>
      </c>
    </row>
    <row r="2" spans="1:5" x14ac:dyDescent="0.15">
      <c r="A2" s="7" t="s">
        <v>175</v>
      </c>
      <c r="B2" t="s">
        <v>70</v>
      </c>
      <c r="C2" s="25">
        <f>'Baseline year demographics'!C9</f>
        <v>0.5</v>
      </c>
      <c r="D2">
        <v>1</v>
      </c>
      <c r="E2">
        <v>1</v>
      </c>
    </row>
    <row r="3" spans="1:5" x14ac:dyDescent="0.15">
      <c r="B3" t="s">
        <v>6</v>
      </c>
      <c r="C3" s="25">
        <f>'Baseline year demographics'!C10</f>
        <v>0.3</v>
      </c>
      <c r="D3">
        <v>1</v>
      </c>
      <c r="E3">
        <v>1</v>
      </c>
    </row>
    <row r="4" spans="1:5" x14ac:dyDescent="0.15">
      <c r="B4" t="s">
        <v>7</v>
      </c>
      <c r="C4" s="25">
        <f>'Baseline year demographics'!C10</f>
        <v>0.3</v>
      </c>
      <c r="D4">
        <v>1</v>
      </c>
      <c r="E4">
        <v>1</v>
      </c>
    </row>
    <row r="5" spans="1:5" x14ac:dyDescent="0.15">
      <c r="B5" t="s">
        <v>8</v>
      </c>
      <c r="C5" s="25">
        <f>'Baseline year demographics'!C10</f>
        <v>0.3</v>
      </c>
      <c r="D5">
        <v>1</v>
      </c>
      <c r="E5">
        <v>1</v>
      </c>
    </row>
    <row r="6" spans="1:5" x14ac:dyDescent="0.15">
      <c r="B6" t="s">
        <v>9</v>
      </c>
      <c r="C6" s="25">
        <f>'Baseline year demographics'!C10</f>
        <v>0.3</v>
      </c>
      <c r="D6">
        <v>1</v>
      </c>
      <c r="E6">
        <v>1</v>
      </c>
    </row>
    <row r="8" spans="1:5" x14ac:dyDescent="0.15">
      <c r="A8" s="7" t="s">
        <v>176</v>
      </c>
      <c r="B8" t="s">
        <v>70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A1:B51"/>
  <sheetViews>
    <sheetView workbookViewId="0">
      <selection activeCell="D36" sqref="D36"/>
    </sheetView>
    <sheetView workbookViewId="1"/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196</v>
      </c>
      <c r="B1" s="7" t="s">
        <v>244</v>
      </c>
    </row>
    <row r="2" spans="1:2" x14ac:dyDescent="0.15">
      <c r="A2" s="98" t="s">
        <v>53</v>
      </c>
      <c r="B2" s="98"/>
    </row>
    <row r="3" spans="1:2" x14ac:dyDescent="0.15">
      <c r="A3" s="99" t="s">
        <v>259</v>
      </c>
      <c r="B3" s="98"/>
    </row>
    <row r="4" spans="1:2" x14ac:dyDescent="0.15">
      <c r="A4" s="4" t="s">
        <v>256</v>
      </c>
      <c r="B4" s="98"/>
    </row>
    <row r="5" spans="1:2" x14ac:dyDescent="0.15">
      <c r="A5" s="4" t="s">
        <v>136</v>
      </c>
      <c r="B5" s="98"/>
    </row>
    <row r="6" spans="1:2" x14ac:dyDescent="0.15">
      <c r="A6" s="98" t="s">
        <v>178</v>
      </c>
      <c r="B6" s="98"/>
    </row>
    <row r="7" spans="1:2" x14ac:dyDescent="0.15">
      <c r="A7" s="9" t="s">
        <v>138</v>
      </c>
      <c r="B7" s="98"/>
    </row>
    <row r="8" spans="1:2" x14ac:dyDescent="0.15">
      <c r="A8" s="9" t="s">
        <v>139</v>
      </c>
      <c r="B8" s="98"/>
    </row>
    <row r="9" spans="1:2" x14ac:dyDescent="0.15">
      <c r="A9" s="9" t="s">
        <v>137</v>
      </c>
      <c r="B9" s="98"/>
    </row>
    <row r="10" spans="1:2" x14ac:dyDescent="0.15">
      <c r="A10" s="98" t="s">
        <v>117</v>
      </c>
      <c r="B10" s="98"/>
    </row>
    <row r="11" spans="1:2" x14ac:dyDescent="0.15">
      <c r="A11" s="98" t="s">
        <v>125</v>
      </c>
      <c r="B11" s="98"/>
    </row>
    <row r="12" spans="1:2" x14ac:dyDescent="0.15">
      <c r="A12" s="98" t="s">
        <v>118</v>
      </c>
      <c r="B12" s="98"/>
    </row>
    <row r="13" spans="1:2" x14ac:dyDescent="0.15">
      <c r="A13" s="98" t="s">
        <v>126</v>
      </c>
      <c r="B13" s="98"/>
    </row>
    <row r="14" spans="1:2" x14ac:dyDescent="0.15">
      <c r="A14" s="98" t="s">
        <v>119</v>
      </c>
      <c r="B14" s="98"/>
    </row>
    <row r="15" spans="1:2" x14ac:dyDescent="0.15">
      <c r="A15" s="98" t="s">
        <v>127</v>
      </c>
      <c r="B15" s="98"/>
    </row>
    <row r="16" spans="1:2" x14ac:dyDescent="0.15">
      <c r="A16" s="98" t="s">
        <v>116</v>
      </c>
      <c r="B16" s="98"/>
    </row>
    <row r="17" spans="1:2" x14ac:dyDescent="0.15">
      <c r="A17" s="98" t="s">
        <v>124</v>
      </c>
      <c r="B17" s="98"/>
    </row>
    <row r="18" spans="1:2" x14ac:dyDescent="0.15">
      <c r="A18" s="98" t="s">
        <v>114</v>
      </c>
      <c r="B18" s="98"/>
    </row>
    <row r="19" spans="1:2" x14ac:dyDescent="0.15">
      <c r="A19" s="98" t="s">
        <v>122</v>
      </c>
      <c r="B19" s="98"/>
    </row>
    <row r="20" spans="1:2" x14ac:dyDescent="0.15">
      <c r="A20" s="98" t="s">
        <v>115</v>
      </c>
      <c r="B20" s="98"/>
    </row>
    <row r="21" spans="1:2" x14ac:dyDescent="0.15">
      <c r="A21" s="98" t="s">
        <v>123</v>
      </c>
      <c r="B21" s="98"/>
    </row>
    <row r="22" spans="1:2" x14ac:dyDescent="0.15">
      <c r="A22" s="98" t="s">
        <v>113</v>
      </c>
      <c r="B22" s="98"/>
    </row>
    <row r="23" spans="1:2" x14ac:dyDescent="0.15">
      <c r="A23" s="98" t="s">
        <v>121</v>
      </c>
      <c r="B23" s="98"/>
    </row>
    <row r="24" spans="1:2" x14ac:dyDescent="0.15">
      <c r="A24" s="98" t="s">
        <v>112</v>
      </c>
      <c r="B24" s="98"/>
    </row>
    <row r="25" spans="1:2" x14ac:dyDescent="0.15">
      <c r="A25" s="4" t="s">
        <v>74</v>
      </c>
      <c r="B25" s="98"/>
    </row>
    <row r="26" spans="1:2" x14ac:dyDescent="0.15">
      <c r="A26" s="4" t="s">
        <v>132</v>
      </c>
      <c r="B26" s="98"/>
    </row>
    <row r="27" spans="1:2" x14ac:dyDescent="0.15">
      <c r="A27" s="4" t="s">
        <v>91</v>
      </c>
      <c r="B27" s="98"/>
    </row>
    <row r="28" spans="1:2" x14ac:dyDescent="0.15">
      <c r="A28" s="4" t="s">
        <v>75</v>
      </c>
      <c r="B28" s="98"/>
    </row>
    <row r="29" spans="1:2" x14ac:dyDescent="0.15">
      <c r="A29" s="4" t="s">
        <v>258</v>
      </c>
      <c r="B29" s="98"/>
    </row>
    <row r="30" spans="1:2" x14ac:dyDescent="0.15">
      <c r="A30" s="4" t="s">
        <v>257</v>
      </c>
      <c r="B30" s="98"/>
    </row>
    <row r="31" spans="1:2" x14ac:dyDescent="0.15">
      <c r="A31" s="98" t="s">
        <v>128</v>
      </c>
      <c r="B31" s="98"/>
    </row>
    <row r="32" spans="1:2" x14ac:dyDescent="0.15">
      <c r="A32" s="98" t="s">
        <v>131</v>
      </c>
      <c r="B32" s="98"/>
    </row>
    <row r="33" spans="1:2" x14ac:dyDescent="0.15">
      <c r="A33" s="98" t="s">
        <v>254</v>
      </c>
      <c r="B33" s="98"/>
    </row>
    <row r="34" spans="1:2" x14ac:dyDescent="0.15">
      <c r="A34" s="4" t="s">
        <v>120</v>
      </c>
      <c r="B34" s="98" t="s">
        <v>158</v>
      </c>
    </row>
    <row r="35" spans="1:2" x14ac:dyDescent="0.15">
      <c r="A35" s="4" t="s">
        <v>72</v>
      </c>
      <c r="B35" s="98" t="s">
        <v>158</v>
      </c>
    </row>
    <row r="36" spans="1:2" x14ac:dyDescent="0.15">
      <c r="A36" s="4" t="s">
        <v>129</v>
      </c>
      <c r="B36" s="98" t="s">
        <v>158</v>
      </c>
    </row>
    <row r="37" spans="1:2" x14ac:dyDescent="0.15">
      <c r="A37" s="4" t="s">
        <v>71</v>
      </c>
      <c r="B37" s="98"/>
    </row>
    <row r="38" spans="1:2" x14ac:dyDescent="0.15">
      <c r="A38" s="21" t="s">
        <v>130</v>
      </c>
      <c r="B38" s="98"/>
    </row>
    <row r="39" spans="1:2" x14ac:dyDescent="0.15">
      <c r="A39" s="4" t="s">
        <v>144</v>
      </c>
      <c r="B39" s="98"/>
    </row>
    <row r="40" spans="1:2" x14ac:dyDescent="0.15">
      <c r="A40" s="4" t="s">
        <v>145</v>
      </c>
      <c r="B40" s="98"/>
    </row>
    <row r="41" spans="1:2" x14ac:dyDescent="0.15">
      <c r="A41" s="4" t="s">
        <v>47</v>
      </c>
      <c r="B41" s="98"/>
    </row>
    <row r="42" spans="1:2" x14ac:dyDescent="0.15">
      <c r="A42" s="98" t="s">
        <v>253</v>
      </c>
      <c r="B42" s="98"/>
    </row>
    <row r="43" spans="1:2" x14ac:dyDescent="0.15">
      <c r="A43" s="98" t="s">
        <v>252</v>
      </c>
      <c r="B43" s="98"/>
    </row>
    <row r="44" spans="1:2" x14ac:dyDescent="0.15">
      <c r="A44" s="98" t="s">
        <v>251</v>
      </c>
      <c r="B44" s="98"/>
    </row>
    <row r="45" spans="1:2" x14ac:dyDescent="0.15">
      <c r="A45" s="98" t="s">
        <v>249</v>
      </c>
      <c r="B45" s="98"/>
    </row>
    <row r="46" spans="1:2" x14ac:dyDescent="0.15">
      <c r="A46" s="98" t="s">
        <v>250</v>
      </c>
      <c r="B46" s="98"/>
    </row>
    <row r="47" spans="1:2" x14ac:dyDescent="0.15">
      <c r="A47" s="98" t="s">
        <v>255</v>
      </c>
      <c r="B47" s="98"/>
    </row>
    <row r="48" spans="1:2" x14ac:dyDescent="0.15">
      <c r="A48" s="4" t="s">
        <v>133</v>
      </c>
      <c r="B48" s="98"/>
    </row>
    <row r="49" spans="1:2" x14ac:dyDescent="0.15">
      <c r="A49" s="112" t="s">
        <v>154</v>
      </c>
      <c r="B49" s="98"/>
    </row>
    <row r="50" spans="1:2" x14ac:dyDescent="0.15">
      <c r="A50" s="112" t="s">
        <v>155</v>
      </c>
      <c r="B50" s="98"/>
    </row>
    <row r="51" spans="1:2" x14ac:dyDescent="0.15">
      <c r="A51" s="112" t="s">
        <v>156</v>
      </c>
      <c r="B51" s="9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7" tint="-0.249977111117893"/>
  </sheetPr>
  <dimension ref="A1:C51"/>
  <sheetViews>
    <sheetView workbookViewId="0">
      <selection activeCell="A29" sqref="A29"/>
    </sheetView>
    <sheetView workbookViewId="1"/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7" t="s">
        <v>196</v>
      </c>
      <c r="B1" s="7" t="s">
        <v>218</v>
      </c>
      <c r="C1" s="7" t="s">
        <v>217</v>
      </c>
    </row>
    <row r="2" spans="1:3" x14ac:dyDescent="0.15">
      <c r="A2" t="str">
        <f>'Programs to include'!A2</f>
        <v>Balanced energy-protein supplementation</v>
      </c>
    </row>
    <row r="3" spans="1:3" x14ac:dyDescent="0.15">
      <c r="A3" s="4" t="str">
        <f>'Programs to include'!A3</f>
        <v>Birth age program</v>
      </c>
    </row>
    <row r="4" spans="1:3" ht="14" x14ac:dyDescent="0.15">
      <c r="A4" s="41" t="str">
        <f>'Programs to include'!A4</f>
        <v>Calcium supplementation</v>
      </c>
    </row>
    <row r="5" spans="1:3" x14ac:dyDescent="0.15">
      <c r="A5" s="9" t="str">
        <f>'Programs to include'!A5</f>
        <v>Cash transfers</v>
      </c>
    </row>
    <row r="6" spans="1:3" x14ac:dyDescent="0.15">
      <c r="A6" s="9" t="str">
        <f>'Programs to include'!A6</f>
        <v>Family Planning</v>
      </c>
    </row>
    <row r="7" spans="1:3" x14ac:dyDescent="0.15">
      <c r="A7" s="9" t="str">
        <f>'Programs to include'!A7</f>
        <v>IFA fortification of maize</v>
      </c>
    </row>
    <row r="8" spans="1:3" x14ac:dyDescent="0.15">
      <c r="A8" t="str">
        <f>'Programs to include'!A8</f>
        <v>IFA fortification of rice</v>
      </c>
    </row>
    <row r="9" spans="1:3" x14ac:dyDescent="0.15">
      <c r="A9" t="str">
        <f>'Programs to include'!A9</f>
        <v>IFA fortification of wheat flour</v>
      </c>
      <c r="C9" s="4"/>
    </row>
    <row r="10" spans="1:3" x14ac:dyDescent="0.15">
      <c r="A10" t="str">
        <f>'Programs to include'!A10</f>
        <v>IFAS not poor: community</v>
      </c>
    </row>
    <row r="11" spans="1:3" x14ac:dyDescent="0.15">
      <c r="A11" t="str">
        <f>'Programs to include'!A11</f>
        <v>IFAS not poor: community (malaria area)</v>
      </c>
      <c r="C11" s="4" t="s">
        <v>75</v>
      </c>
    </row>
    <row r="12" spans="1:3" x14ac:dyDescent="0.15">
      <c r="A12" t="str">
        <f>'Programs to include'!A12</f>
        <v>IFAS not poor: hospital</v>
      </c>
    </row>
    <row r="13" spans="1:3" x14ac:dyDescent="0.15">
      <c r="A13" t="str">
        <f>'Programs to include'!A13</f>
        <v>IFAS not poor: hospital (malaria area)</v>
      </c>
      <c r="C13" s="4" t="s">
        <v>75</v>
      </c>
    </row>
    <row r="14" spans="1:3" x14ac:dyDescent="0.15">
      <c r="A14" t="str">
        <f>'Programs to include'!A14</f>
        <v>IFAS not poor: retailer</v>
      </c>
    </row>
    <row r="15" spans="1:3" x14ac:dyDescent="0.15">
      <c r="A15" t="str">
        <f>'Programs to include'!A15</f>
        <v>IFAS not poor: retailer (malaria area)</v>
      </c>
      <c r="C15" s="4" t="s">
        <v>75</v>
      </c>
    </row>
    <row r="16" spans="1:3" x14ac:dyDescent="0.15">
      <c r="A16" t="str">
        <f>'Programs to include'!A16</f>
        <v>IFAS not poor: school</v>
      </c>
    </row>
    <row r="17" spans="1:3" x14ac:dyDescent="0.15">
      <c r="A17" t="str">
        <f>'Programs to include'!A17</f>
        <v>IFAS not poor: school (malaria area)</v>
      </c>
      <c r="C17" s="4" t="s">
        <v>75</v>
      </c>
    </row>
    <row r="18" spans="1:3" x14ac:dyDescent="0.15">
      <c r="A18" t="str">
        <f>'Programs to include'!A18</f>
        <v>IFAS poor: community</v>
      </c>
    </row>
    <row r="19" spans="1:3" x14ac:dyDescent="0.15">
      <c r="A19" t="str">
        <f>'Programs to include'!A19</f>
        <v>IFAS poor: community (malaria area)</v>
      </c>
      <c r="C19" s="4" t="s">
        <v>75</v>
      </c>
    </row>
    <row r="20" spans="1:3" x14ac:dyDescent="0.15">
      <c r="A20" t="str">
        <f>'Programs to include'!A20</f>
        <v>IFAS poor: hospital</v>
      </c>
    </row>
    <row r="21" spans="1:3" x14ac:dyDescent="0.15">
      <c r="A21" t="str">
        <f>'Programs to include'!A21</f>
        <v>IFAS poor: hospital (malaria area)</v>
      </c>
      <c r="C21" s="4" t="s">
        <v>75</v>
      </c>
    </row>
    <row r="22" spans="1:3" x14ac:dyDescent="0.15">
      <c r="A22" t="str">
        <f>'Programs to include'!A22</f>
        <v>IFAS poor: school</v>
      </c>
    </row>
    <row r="23" spans="1:3" x14ac:dyDescent="0.15">
      <c r="A23" s="4" t="str">
        <f>'Programs to include'!A23</f>
        <v>IFAS poor: school (malaria area)</v>
      </c>
      <c r="C23" s="4" t="s">
        <v>75</v>
      </c>
    </row>
    <row r="24" spans="1:3" x14ac:dyDescent="0.15">
      <c r="A24" s="4" t="str">
        <f>'Programs to include'!A24</f>
        <v>IPTp</v>
      </c>
    </row>
    <row r="25" spans="1:3" x14ac:dyDescent="0.15">
      <c r="A25" s="4" t="str">
        <f>'Programs to include'!A25</f>
        <v>Iron and folic acid supplementation for pregnant women</v>
      </c>
      <c r="B25" t="s">
        <v>128</v>
      </c>
    </row>
    <row r="26" spans="1:3" x14ac:dyDescent="0.15">
      <c r="A26" s="4" t="str">
        <f>'Programs to include'!A26</f>
        <v>Iron and folic acid supplementation for pregnant women (malaria area)</v>
      </c>
      <c r="B26" t="s">
        <v>131</v>
      </c>
      <c r="C26" t="s">
        <v>112</v>
      </c>
    </row>
    <row r="27" spans="1:3" x14ac:dyDescent="0.15">
      <c r="A27" s="4" t="str">
        <f>'Programs to include'!A27</f>
        <v>Iron and iodine fortification of salt</v>
      </c>
    </row>
    <row r="28" spans="1:3" x14ac:dyDescent="0.15">
      <c r="A28" t="str">
        <f>'Programs to include'!A28</f>
        <v>Long-lasting insecticide-treated bednets</v>
      </c>
    </row>
    <row r="29" spans="1:3" x14ac:dyDescent="0.15">
      <c r="A29" s="4" t="str">
        <f>'Programs to include'!A29</f>
        <v>Mg for eclampsia</v>
      </c>
    </row>
    <row r="30" spans="1:3" x14ac:dyDescent="0.15">
      <c r="A30" s="4" t="str">
        <f>'Programs to include'!A30</f>
        <v>Mg for pre-eclampsia</v>
      </c>
    </row>
    <row r="31" spans="1:3" x14ac:dyDescent="0.15">
      <c r="A31" s="4" t="str">
        <f>'Programs to include'!A31</f>
        <v>Multiple micronutrient supplementation</v>
      </c>
      <c r="C31" s="4"/>
    </row>
    <row r="32" spans="1:3" x14ac:dyDescent="0.15">
      <c r="A32" s="4" t="str">
        <f>'Programs to include'!A32</f>
        <v>Multiple micronutrient supplementation (malaria area)</v>
      </c>
      <c r="C32" t="s">
        <v>112</v>
      </c>
    </row>
    <row r="33" spans="1:3" x14ac:dyDescent="0.15">
      <c r="A33" s="21" t="str">
        <f>'Programs to include'!A33</f>
        <v>Oral rehydration salts</v>
      </c>
      <c r="C33" s="4"/>
    </row>
    <row r="34" spans="1:3" x14ac:dyDescent="0.15">
      <c r="A34" s="4" t="str">
        <f>'Programs to include'!A34</f>
        <v>Public provision of complementary foods</v>
      </c>
      <c r="B34" t="s">
        <v>222</v>
      </c>
    </row>
    <row r="35" spans="1:3" x14ac:dyDescent="0.15">
      <c r="A35" s="4" t="str">
        <f>'Programs to include'!A35</f>
        <v>Public provision of complementary foods with iron</v>
      </c>
    </row>
    <row r="36" spans="1:3" x14ac:dyDescent="0.15">
      <c r="A36" s="4" t="str">
        <f>'Programs to include'!A36</f>
        <v>Public provision of complementary foods with iron (malaria area)</v>
      </c>
      <c r="C36" s="4" t="s">
        <v>75</v>
      </c>
    </row>
    <row r="37" spans="1:3" x14ac:dyDescent="0.15">
      <c r="A37" s="4" t="str">
        <f>'Programs to include'!A37</f>
        <v>Sprinkles</v>
      </c>
      <c r="B37" t="s">
        <v>72</v>
      </c>
    </row>
    <row r="38" spans="1:3" x14ac:dyDescent="0.15">
      <c r="A38" s="4" t="str">
        <f>'Programs to include'!A38</f>
        <v>Sprinkles (malaria area)</v>
      </c>
      <c r="B38" t="s">
        <v>129</v>
      </c>
      <c r="C38" s="4" t="s">
        <v>75</v>
      </c>
    </row>
    <row r="39" spans="1:3" x14ac:dyDescent="0.15">
      <c r="A39" s="4" t="str">
        <f>'Programs to include'!A39</f>
        <v>Treatment of MAM</v>
      </c>
    </row>
    <row r="40" spans="1:3" x14ac:dyDescent="0.15">
      <c r="A40" s="4" t="str">
        <f>'Programs to include'!A40</f>
        <v>Treatment of SAM</v>
      </c>
    </row>
    <row r="41" spans="1:3" x14ac:dyDescent="0.15">
      <c r="A41" t="str">
        <f>'Programs to include'!A41</f>
        <v>Vitamin A supplementation</v>
      </c>
      <c r="B41" s="4"/>
    </row>
    <row r="42" spans="1:3" x14ac:dyDescent="0.15">
      <c r="A42" t="str">
        <f>'Programs to include'!A42</f>
        <v>WASH: Handwashing</v>
      </c>
      <c r="B42" s="4"/>
    </row>
    <row r="43" spans="1:3" x14ac:dyDescent="0.15">
      <c r="A43" t="str">
        <f>'Programs to include'!A43</f>
        <v>WASH: Hygenic disposal</v>
      </c>
    </row>
    <row r="44" spans="1:3" x14ac:dyDescent="0.15">
      <c r="A44" t="str">
        <f>'Programs to include'!A44</f>
        <v>WASH: Improved sanitation</v>
      </c>
    </row>
    <row r="45" spans="1:3" x14ac:dyDescent="0.15">
      <c r="A45" t="str">
        <f>'Programs to include'!A45</f>
        <v>WASH: Improved water source</v>
      </c>
    </row>
    <row r="46" spans="1:3" x14ac:dyDescent="0.15">
      <c r="A46" t="str">
        <f>'Programs to include'!A46</f>
        <v>WASH: Piped water</v>
      </c>
    </row>
    <row r="47" spans="1:3" x14ac:dyDescent="0.15">
      <c r="A47" t="str">
        <f>'Programs to include'!A47</f>
        <v>Zinc for treatment + ORS</v>
      </c>
    </row>
    <row r="48" spans="1:3" x14ac:dyDescent="0.15">
      <c r="A48" t="str">
        <f>'Programs to include'!A48</f>
        <v>Zinc supplementation</v>
      </c>
      <c r="B48" s="4"/>
    </row>
    <row r="49" spans="1:1" x14ac:dyDescent="0.15">
      <c r="A49" t="str">
        <f>'Programs to include'!A49</f>
        <v>IYCF 1</v>
      </c>
    </row>
    <row r="50" spans="1:1" x14ac:dyDescent="0.15">
      <c r="A50" t="str">
        <f>'Programs to include'!A50</f>
        <v>IYCF 2</v>
      </c>
    </row>
    <row r="51" spans="1:1" x14ac:dyDescent="0.15">
      <c r="A51" t="str">
        <f>'Programs to include'!A51</f>
        <v>IYCF 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050C-0865-7046-B5F3-F185B3ED8E81}">
  <sheetPr>
    <tabColor theme="7" tint="-0.249977111117893"/>
  </sheetPr>
  <dimension ref="A1:B51"/>
  <sheetViews>
    <sheetView workbookViewId="0">
      <selection activeCell="A29" sqref="A29"/>
    </sheetView>
    <sheetView workbookViewId="1"/>
  </sheetViews>
  <sheetFormatPr baseColWidth="10" defaultRowHeight="13" x14ac:dyDescent="0.15"/>
  <cols>
    <col min="1" max="1" width="56.5" bestFit="1" customWidth="1"/>
    <col min="2" max="2" width="21.5" bestFit="1" customWidth="1"/>
  </cols>
  <sheetData>
    <row r="1" spans="1:2" x14ac:dyDescent="0.15">
      <c r="A1" s="7" t="s">
        <v>196</v>
      </c>
      <c r="B1" s="7" t="s">
        <v>262</v>
      </c>
    </row>
    <row r="2" spans="1:2" x14ac:dyDescent="0.15">
      <c r="A2" t="str">
        <f>'Programs to include'!A2</f>
        <v>Balanced energy-protein supplementation</v>
      </c>
      <c r="B2" s="67">
        <v>1</v>
      </c>
    </row>
    <row r="3" spans="1:2" x14ac:dyDescent="0.15">
      <c r="A3" t="str">
        <f>'Programs to include'!A3</f>
        <v>Birth age program</v>
      </c>
      <c r="B3" s="67">
        <v>1</v>
      </c>
    </row>
    <row r="4" spans="1:2" x14ac:dyDescent="0.15">
      <c r="A4" t="str">
        <f>'Programs to include'!A4</f>
        <v>Calcium supplementation</v>
      </c>
      <c r="B4" s="67">
        <v>1</v>
      </c>
    </row>
    <row r="5" spans="1:2" x14ac:dyDescent="0.15">
      <c r="A5" t="str">
        <f>'Programs to include'!A5</f>
        <v>Cash transfers</v>
      </c>
      <c r="B5" s="67">
        <v>1</v>
      </c>
    </row>
    <row r="6" spans="1:2" x14ac:dyDescent="0.15">
      <c r="A6" t="str">
        <f>'Programs to include'!A6</f>
        <v>Family Planning</v>
      </c>
      <c r="B6" s="67">
        <v>1</v>
      </c>
    </row>
    <row r="7" spans="1:2" x14ac:dyDescent="0.15">
      <c r="A7" t="str">
        <f>'Programs to include'!A7</f>
        <v>IFA fortification of maize</v>
      </c>
      <c r="B7" s="67">
        <v>1</v>
      </c>
    </row>
    <row r="8" spans="1:2" x14ac:dyDescent="0.15">
      <c r="A8" t="str">
        <f>'Programs to include'!A8</f>
        <v>IFA fortification of rice</v>
      </c>
      <c r="B8" s="67">
        <v>1</v>
      </c>
    </row>
    <row r="9" spans="1:2" x14ac:dyDescent="0.15">
      <c r="A9" t="str">
        <f>'Programs to include'!A9</f>
        <v>IFA fortification of wheat flour</v>
      </c>
      <c r="B9" s="67">
        <v>1</v>
      </c>
    </row>
    <row r="10" spans="1:2" x14ac:dyDescent="0.15">
      <c r="A10" t="str">
        <f>'Programs to include'!A10</f>
        <v>IFAS not poor: community</v>
      </c>
      <c r="B10" s="67">
        <v>1</v>
      </c>
    </row>
    <row r="11" spans="1:2" x14ac:dyDescent="0.15">
      <c r="A11" t="str">
        <f>'Programs to include'!A11</f>
        <v>IFAS not poor: community (malaria area)</v>
      </c>
      <c r="B11" s="67">
        <v>1</v>
      </c>
    </row>
    <row r="12" spans="1:2" x14ac:dyDescent="0.15">
      <c r="A12" t="str">
        <f>'Programs to include'!A12</f>
        <v>IFAS not poor: hospital</v>
      </c>
      <c r="B12" s="67">
        <v>1</v>
      </c>
    </row>
    <row r="13" spans="1:2" x14ac:dyDescent="0.15">
      <c r="A13" t="str">
        <f>'Programs to include'!A13</f>
        <v>IFAS not poor: hospital (malaria area)</v>
      </c>
      <c r="B13" s="67">
        <v>1</v>
      </c>
    </row>
    <row r="14" spans="1:2" x14ac:dyDescent="0.15">
      <c r="A14" t="str">
        <f>'Programs to include'!A14</f>
        <v>IFAS not poor: retailer</v>
      </c>
      <c r="B14" s="67">
        <v>1</v>
      </c>
    </row>
    <row r="15" spans="1:2" x14ac:dyDescent="0.15">
      <c r="A15" t="str">
        <f>'Programs to include'!A15</f>
        <v>IFAS not poor: retailer (malaria area)</v>
      </c>
      <c r="B15" s="67">
        <v>1</v>
      </c>
    </row>
    <row r="16" spans="1:2" x14ac:dyDescent="0.15">
      <c r="A16" t="str">
        <f>'Programs to include'!A16</f>
        <v>IFAS not poor: school</v>
      </c>
      <c r="B16" s="67">
        <v>1</v>
      </c>
    </row>
    <row r="17" spans="1:2" x14ac:dyDescent="0.15">
      <c r="A17" t="str">
        <f>'Programs to include'!A17</f>
        <v>IFAS not poor: school (malaria area)</v>
      </c>
      <c r="B17" s="67">
        <v>1</v>
      </c>
    </row>
    <row r="18" spans="1:2" x14ac:dyDescent="0.15">
      <c r="A18" t="str">
        <f>'Programs to include'!A18</f>
        <v>IFAS poor: community</v>
      </c>
      <c r="B18" s="67">
        <v>1</v>
      </c>
    </row>
    <row r="19" spans="1:2" x14ac:dyDescent="0.15">
      <c r="A19" t="str">
        <f>'Programs to include'!A19</f>
        <v>IFAS poor: community (malaria area)</v>
      </c>
      <c r="B19" s="67">
        <v>1</v>
      </c>
    </row>
    <row r="20" spans="1:2" x14ac:dyDescent="0.15">
      <c r="A20" t="str">
        <f>'Programs to include'!A20</f>
        <v>IFAS poor: hospital</v>
      </c>
      <c r="B20" s="67">
        <v>1</v>
      </c>
    </row>
    <row r="21" spans="1:2" x14ac:dyDescent="0.15">
      <c r="A21" t="str">
        <f>'Programs to include'!A21</f>
        <v>IFAS poor: hospital (malaria area)</v>
      </c>
      <c r="B21" s="67">
        <v>1</v>
      </c>
    </row>
    <row r="22" spans="1:2" x14ac:dyDescent="0.15">
      <c r="A22" t="str">
        <f>'Programs to include'!A22</f>
        <v>IFAS poor: school</v>
      </c>
      <c r="B22" s="67">
        <v>1</v>
      </c>
    </row>
    <row r="23" spans="1:2" x14ac:dyDescent="0.15">
      <c r="A23" t="str">
        <f>'Programs to include'!A23</f>
        <v>IFAS poor: school (malaria area)</v>
      </c>
      <c r="B23" s="67">
        <v>1</v>
      </c>
    </row>
    <row r="24" spans="1:2" x14ac:dyDescent="0.15">
      <c r="A24" t="str">
        <f>'Programs to include'!A24</f>
        <v>IPTp</v>
      </c>
      <c r="B24" s="67">
        <v>1</v>
      </c>
    </row>
    <row r="25" spans="1:2" x14ac:dyDescent="0.15">
      <c r="A25" t="str">
        <f>'Programs to include'!A25</f>
        <v>Iron and folic acid supplementation for pregnant women</v>
      </c>
      <c r="B25" s="67">
        <v>1</v>
      </c>
    </row>
    <row r="26" spans="1:2" x14ac:dyDescent="0.15">
      <c r="A26" t="str">
        <f>'Programs to include'!A26</f>
        <v>Iron and folic acid supplementation for pregnant women (malaria area)</v>
      </c>
      <c r="B26" s="67">
        <v>1</v>
      </c>
    </row>
    <row r="27" spans="1:2" x14ac:dyDescent="0.15">
      <c r="A27" t="str">
        <f>'Programs to include'!A27</f>
        <v>Iron and iodine fortification of salt</v>
      </c>
      <c r="B27" s="67">
        <v>1</v>
      </c>
    </row>
    <row r="28" spans="1:2" x14ac:dyDescent="0.15">
      <c r="A28" t="str">
        <f>'Programs to include'!A28</f>
        <v>Long-lasting insecticide-treated bednets</v>
      </c>
      <c r="B28" s="67">
        <v>1</v>
      </c>
    </row>
    <row r="29" spans="1:2" x14ac:dyDescent="0.15">
      <c r="A29" t="str">
        <f>'Programs to include'!A29</f>
        <v>Mg for eclampsia</v>
      </c>
      <c r="B29" s="67">
        <v>1</v>
      </c>
    </row>
    <row r="30" spans="1:2" x14ac:dyDescent="0.15">
      <c r="A30" t="str">
        <f>'Programs to include'!A30</f>
        <v>Mg for pre-eclampsia</v>
      </c>
      <c r="B30" s="67">
        <v>1</v>
      </c>
    </row>
    <row r="31" spans="1:2" x14ac:dyDescent="0.15">
      <c r="A31" t="str">
        <f>'Programs to include'!A31</f>
        <v>Multiple micronutrient supplementation</v>
      </c>
      <c r="B31" s="67">
        <v>1</v>
      </c>
    </row>
    <row r="32" spans="1:2" x14ac:dyDescent="0.15">
      <c r="A32" t="str">
        <f>'Programs to include'!A32</f>
        <v>Multiple micronutrient supplementation (malaria area)</v>
      </c>
      <c r="B32" s="67">
        <v>1</v>
      </c>
    </row>
    <row r="33" spans="1:2" x14ac:dyDescent="0.15">
      <c r="A33" t="str">
        <f>'Programs to include'!A33</f>
        <v>Oral rehydration salts</v>
      </c>
      <c r="B33" s="67">
        <v>1</v>
      </c>
    </row>
    <row r="34" spans="1:2" x14ac:dyDescent="0.15">
      <c r="A34" t="str">
        <f>'Programs to include'!A34</f>
        <v>Public provision of complementary foods</v>
      </c>
      <c r="B34" s="67">
        <v>1</v>
      </c>
    </row>
    <row r="35" spans="1:2" x14ac:dyDescent="0.15">
      <c r="A35" t="str">
        <f>'Programs to include'!A35</f>
        <v>Public provision of complementary foods with iron</v>
      </c>
      <c r="B35" s="67">
        <v>1</v>
      </c>
    </row>
    <row r="36" spans="1:2" x14ac:dyDescent="0.15">
      <c r="A36" t="str">
        <f>'Programs to include'!A36</f>
        <v>Public provision of complementary foods with iron (malaria area)</v>
      </c>
      <c r="B36" s="67">
        <v>1</v>
      </c>
    </row>
    <row r="37" spans="1:2" x14ac:dyDescent="0.15">
      <c r="A37" t="str">
        <f>'Programs to include'!A37</f>
        <v>Sprinkles</v>
      </c>
      <c r="B37" s="67">
        <v>1</v>
      </c>
    </row>
    <row r="38" spans="1:2" x14ac:dyDescent="0.15">
      <c r="A38" t="str">
        <f>'Programs to include'!A38</f>
        <v>Sprinkles (malaria area)</v>
      </c>
      <c r="B38" s="67">
        <v>1</v>
      </c>
    </row>
    <row r="39" spans="1:2" x14ac:dyDescent="0.15">
      <c r="A39" t="str">
        <f>'Programs to include'!A39</f>
        <v>Treatment of MAM</v>
      </c>
      <c r="B39" s="67">
        <v>1</v>
      </c>
    </row>
    <row r="40" spans="1:2" x14ac:dyDescent="0.15">
      <c r="A40" t="str">
        <f>'Programs to include'!A40</f>
        <v>Treatment of SAM</v>
      </c>
      <c r="B40" s="67">
        <v>1</v>
      </c>
    </row>
    <row r="41" spans="1:2" x14ac:dyDescent="0.15">
      <c r="A41" t="str">
        <f>'Programs to include'!A41</f>
        <v>Vitamin A supplementation</v>
      </c>
      <c r="B41" s="67">
        <v>1</v>
      </c>
    </row>
    <row r="42" spans="1:2" x14ac:dyDescent="0.15">
      <c r="A42" t="str">
        <f>'Programs to include'!A42</f>
        <v>WASH: Handwashing</v>
      </c>
      <c r="B42" s="67">
        <v>1</v>
      </c>
    </row>
    <row r="43" spans="1:2" x14ac:dyDescent="0.15">
      <c r="A43" t="str">
        <f>'Programs to include'!A43</f>
        <v>WASH: Hygenic disposal</v>
      </c>
      <c r="B43" s="67">
        <v>1</v>
      </c>
    </row>
    <row r="44" spans="1:2" x14ac:dyDescent="0.15">
      <c r="A44" t="str">
        <f>'Programs to include'!A44</f>
        <v>WASH: Improved sanitation</v>
      </c>
      <c r="B44" s="67">
        <v>1</v>
      </c>
    </row>
    <row r="45" spans="1:2" x14ac:dyDescent="0.15">
      <c r="A45" t="str">
        <f>'Programs to include'!A45</f>
        <v>WASH: Improved water source</v>
      </c>
      <c r="B45" s="67">
        <v>1</v>
      </c>
    </row>
    <row r="46" spans="1:2" x14ac:dyDescent="0.15">
      <c r="A46" t="str">
        <f>'Programs to include'!A46</f>
        <v>WASH: Piped water</v>
      </c>
      <c r="B46" s="67">
        <v>1</v>
      </c>
    </row>
    <row r="47" spans="1:2" x14ac:dyDescent="0.15">
      <c r="A47" t="str">
        <f>'Programs to include'!A47</f>
        <v>Zinc for treatment + ORS</v>
      </c>
      <c r="B47" s="67">
        <v>1</v>
      </c>
    </row>
    <row r="48" spans="1:2" x14ac:dyDescent="0.15">
      <c r="A48" t="str">
        <f>'Programs to include'!A48</f>
        <v>Zinc supplementation</v>
      </c>
      <c r="B48" s="67">
        <v>1</v>
      </c>
    </row>
    <row r="49" spans="1:2" x14ac:dyDescent="0.15">
      <c r="A49" t="str">
        <f>'Programs to include'!A49</f>
        <v>IYCF 1</v>
      </c>
      <c r="B49" s="67">
        <v>1</v>
      </c>
    </row>
    <row r="50" spans="1:2" x14ac:dyDescent="0.15">
      <c r="A50" t="str">
        <f>'Programs to include'!A50</f>
        <v>IYCF 2</v>
      </c>
      <c r="B50" s="67">
        <v>1</v>
      </c>
    </row>
    <row r="51" spans="1:2" x14ac:dyDescent="0.15">
      <c r="A51" t="str">
        <f>'Programs to include'!A51</f>
        <v>IYCF 3</v>
      </c>
      <c r="B51" s="67">
        <v>1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1538-A103-E449-A7A9-980845064FD1}">
  <sheetPr>
    <tabColor theme="7" tint="-0.249977111117893"/>
  </sheetPr>
  <dimension ref="A1:Y101"/>
  <sheetViews>
    <sheetView workbookViewId="0">
      <selection activeCell="A29" sqref="A29"/>
    </sheetView>
    <sheetView workbookViewId="1"/>
  </sheetViews>
  <sheetFormatPr baseColWidth="10" defaultRowHeight="13" x14ac:dyDescent="0.15"/>
  <cols>
    <col min="1" max="1" width="56.5" bestFit="1" customWidth="1"/>
    <col min="3" max="3" width="10.83203125" customWidth="1"/>
  </cols>
  <sheetData>
    <row r="1" spans="1:25" x14ac:dyDescent="0.15">
      <c r="A1" s="7" t="s">
        <v>196</v>
      </c>
      <c r="B1" s="7" t="s">
        <v>264</v>
      </c>
      <c r="C1" s="72">
        <f>'Baseline year demographics'!$C2+1</f>
        <v>2017</v>
      </c>
      <c r="D1" s="72">
        <f>C1+1</f>
        <v>2018</v>
      </c>
      <c r="E1" s="72">
        <f t="shared" ref="E1:P1" si="0">D1+1</f>
        <v>2019</v>
      </c>
      <c r="F1" s="72">
        <f t="shared" si="0"/>
        <v>2020</v>
      </c>
      <c r="G1" s="72">
        <f t="shared" si="0"/>
        <v>2021</v>
      </c>
      <c r="H1" s="72">
        <f t="shared" si="0"/>
        <v>2022</v>
      </c>
      <c r="I1" s="72">
        <f t="shared" si="0"/>
        <v>2023</v>
      </c>
      <c r="J1" s="72">
        <f t="shared" si="0"/>
        <v>2024</v>
      </c>
      <c r="K1" s="72">
        <f t="shared" si="0"/>
        <v>2025</v>
      </c>
      <c r="L1" s="72">
        <f t="shared" si="0"/>
        <v>2026</v>
      </c>
      <c r="M1" s="72">
        <f t="shared" si="0"/>
        <v>2027</v>
      </c>
      <c r="N1" s="72">
        <f t="shared" si="0"/>
        <v>2028</v>
      </c>
      <c r="O1" s="72">
        <f t="shared" si="0"/>
        <v>2029</v>
      </c>
      <c r="P1" s="72">
        <f t="shared" si="0"/>
        <v>2030</v>
      </c>
      <c r="Q1" s="72"/>
      <c r="R1" s="72"/>
      <c r="S1" s="72"/>
      <c r="T1" s="72"/>
      <c r="U1" s="72"/>
      <c r="V1" s="72"/>
      <c r="W1" s="72"/>
      <c r="X1" s="72"/>
      <c r="Y1" s="72"/>
    </row>
    <row r="2" spans="1:25" x14ac:dyDescent="0.15">
      <c r="A2" t="str">
        <f>'Programs to include'!A2</f>
        <v>Balanced energy-protein supplementation</v>
      </c>
      <c r="B2" s="98" t="s">
        <v>263</v>
      </c>
      <c r="C2" s="25"/>
    </row>
    <row r="3" spans="1:25" x14ac:dyDescent="0.15">
      <c r="A3" t="str">
        <f>A2</f>
        <v>Balanced energy-protein supplementation</v>
      </c>
      <c r="B3" s="98" t="s">
        <v>265</v>
      </c>
      <c r="C3" s="25"/>
    </row>
    <row r="4" spans="1:25" x14ac:dyDescent="0.15">
      <c r="A4" t="str">
        <f>'Programs to include'!A3</f>
        <v>Birth age program</v>
      </c>
      <c r="B4" s="98" t="s">
        <v>263</v>
      </c>
      <c r="C4" s="25"/>
    </row>
    <row r="5" spans="1:25" x14ac:dyDescent="0.15">
      <c r="A5" t="str">
        <f>A4</f>
        <v>Birth age program</v>
      </c>
      <c r="B5" s="98" t="s">
        <v>265</v>
      </c>
      <c r="C5" s="25"/>
    </row>
    <row r="6" spans="1:25" x14ac:dyDescent="0.15">
      <c r="A6" t="str">
        <f>'Programs to include'!A4</f>
        <v>Calcium supplementation</v>
      </c>
      <c r="B6" s="98" t="s">
        <v>263</v>
      </c>
      <c r="C6" s="25"/>
    </row>
    <row r="7" spans="1:25" x14ac:dyDescent="0.15">
      <c r="A7" t="str">
        <f>A6</f>
        <v>Calcium supplementation</v>
      </c>
      <c r="B7" s="98" t="s">
        <v>265</v>
      </c>
      <c r="C7" s="25"/>
    </row>
    <row r="8" spans="1:25" x14ac:dyDescent="0.15">
      <c r="A8" t="str">
        <f>'Programs to include'!A5</f>
        <v>Cash transfers</v>
      </c>
      <c r="B8" s="98" t="s">
        <v>263</v>
      </c>
      <c r="C8" s="25"/>
    </row>
    <row r="9" spans="1:25" x14ac:dyDescent="0.15">
      <c r="A9" t="str">
        <f>A8</f>
        <v>Cash transfers</v>
      </c>
      <c r="B9" s="98" t="s">
        <v>265</v>
      </c>
      <c r="C9" s="25"/>
    </row>
    <row r="10" spans="1:25" x14ac:dyDescent="0.15">
      <c r="A10" t="str">
        <f>'Programs to include'!A6</f>
        <v>Family Planning</v>
      </c>
      <c r="B10" s="98" t="s">
        <v>263</v>
      </c>
      <c r="C10" s="25"/>
    </row>
    <row r="11" spans="1:25" x14ac:dyDescent="0.15">
      <c r="A11" t="str">
        <f>A10</f>
        <v>Family Planning</v>
      </c>
      <c r="B11" s="98" t="s">
        <v>265</v>
      </c>
      <c r="C11" s="25"/>
    </row>
    <row r="12" spans="1:25" x14ac:dyDescent="0.15">
      <c r="A12" t="str">
        <f>'Programs to include'!A7</f>
        <v>IFA fortification of maize</v>
      </c>
      <c r="B12" s="98" t="s">
        <v>263</v>
      </c>
      <c r="C12" s="25"/>
    </row>
    <row r="13" spans="1:25" x14ac:dyDescent="0.15">
      <c r="A13" t="str">
        <f>A12</f>
        <v>IFA fortification of maize</v>
      </c>
      <c r="B13" s="98" t="s">
        <v>265</v>
      </c>
      <c r="C13" s="25"/>
    </row>
    <row r="14" spans="1:25" x14ac:dyDescent="0.15">
      <c r="A14" t="str">
        <f>'Programs to include'!A8</f>
        <v>IFA fortification of rice</v>
      </c>
      <c r="B14" s="98" t="s">
        <v>263</v>
      </c>
      <c r="C14" s="25"/>
    </row>
    <row r="15" spans="1:25" x14ac:dyDescent="0.15">
      <c r="A15" t="str">
        <f>A14</f>
        <v>IFA fortification of rice</v>
      </c>
      <c r="B15" s="98" t="s">
        <v>265</v>
      </c>
      <c r="C15" s="25"/>
    </row>
    <row r="16" spans="1:25" x14ac:dyDescent="0.15">
      <c r="A16" t="str">
        <f>'Programs to include'!A9</f>
        <v>IFA fortification of wheat flour</v>
      </c>
      <c r="B16" s="98" t="s">
        <v>263</v>
      </c>
      <c r="C16" s="25"/>
    </row>
    <row r="17" spans="1:3" x14ac:dyDescent="0.15">
      <c r="A17" t="str">
        <f>A16</f>
        <v>IFA fortification of wheat flour</v>
      </c>
      <c r="B17" s="98" t="s">
        <v>265</v>
      </c>
      <c r="C17" s="25"/>
    </row>
    <row r="18" spans="1:3" x14ac:dyDescent="0.15">
      <c r="A18" t="str">
        <f>'Programs to include'!A10</f>
        <v>IFAS not poor: community</v>
      </c>
      <c r="B18" s="98" t="s">
        <v>263</v>
      </c>
      <c r="C18" s="25"/>
    </row>
    <row r="19" spans="1:3" x14ac:dyDescent="0.15">
      <c r="A19" t="str">
        <f>A18</f>
        <v>IFAS not poor: community</v>
      </c>
      <c r="B19" s="98" t="s">
        <v>265</v>
      </c>
      <c r="C19" s="25"/>
    </row>
    <row r="20" spans="1:3" x14ac:dyDescent="0.15">
      <c r="A20" t="str">
        <f>'Programs to include'!A11</f>
        <v>IFAS not poor: community (malaria area)</v>
      </c>
      <c r="B20" s="98" t="s">
        <v>263</v>
      </c>
      <c r="C20" s="25"/>
    </row>
    <row r="21" spans="1:3" x14ac:dyDescent="0.15">
      <c r="A21" t="str">
        <f>A20</f>
        <v>IFAS not poor: community (malaria area)</v>
      </c>
      <c r="B21" s="98" t="s">
        <v>265</v>
      </c>
      <c r="C21" s="25"/>
    </row>
    <row r="22" spans="1:3" x14ac:dyDescent="0.15">
      <c r="A22" t="str">
        <f>'Programs to include'!A12</f>
        <v>IFAS not poor: hospital</v>
      </c>
      <c r="B22" s="98" t="s">
        <v>263</v>
      </c>
      <c r="C22" s="25"/>
    </row>
    <row r="23" spans="1:3" x14ac:dyDescent="0.15">
      <c r="A23" t="str">
        <f>A22</f>
        <v>IFAS not poor: hospital</v>
      </c>
      <c r="B23" s="98" t="s">
        <v>265</v>
      </c>
      <c r="C23" s="25"/>
    </row>
    <row r="24" spans="1:3" x14ac:dyDescent="0.15">
      <c r="A24" t="str">
        <f>'Programs to include'!A13</f>
        <v>IFAS not poor: hospital (malaria area)</v>
      </c>
      <c r="B24" s="98" t="s">
        <v>263</v>
      </c>
      <c r="C24" s="25"/>
    </row>
    <row r="25" spans="1:3" x14ac:dyDescent="0.15">
      <c r="A25" t="str">
        <f>A24</f>
        <v>IFAS not poor: hospital (malaria area)</v>
      </c>
      <c r="B25" s="98" t="s">
        <v>265</v>
      </c>
      <c r="C25" s="25"/>
    </row>
    <row r="26" spans="1:3" x14ac:dyDescent="0.15">
      <c r="A26" t="str">
        <f>'Programs to include'!A14</f>
        <v>IFAS not poor: retailer</v>
      </c>
      <c r="B26" s="98" t="s">
        <v>263</v>
      </c>
      <c r="C26" s="25"/>
    </row>
    <row r="27" spans="1:3" x14ac:dyDescent="0.15">
      <c r="A27" t="str">
        <f>A26</f>
        <v>IFAS not poor: retailer</v>
      </c>
      <c r="B27" s="98" t="s">
        <v>265</v>
      </c>
      <c r="C27" s="25"/>
    </row>
    <row r="28" spans="1:3" x14ac:dyDescent="0.15">
      <c r="A28" t="str">
        <f>'Programs to include'!A15</f>
        <v>IFAS not poor: retailer (malaria area)</v>
      </c>
      <c r="B28" s="98" t="s">
        <v>263</v>
      </c>
      <c r="C28" s="25"/>
    </row>
    <row r="29" spans="1:3" x14ac:dyDescent="0.15">
      <c r="A29" t="str">
        <f>A28</f>
        <v>IFAS not poor: retailer (malaria area)</v>
      </c>
      <c r="B29" s="98" t="s">
        <v>265</v>
      </c>
      <c r="C29" s="25"/>
    </row>
    <row r="30" spans="1:3" x14ac:dyDescent="0.15">
      <c r="A30" t="str">
        <f>'Programs to include'!A16</f>
        <v>IFAS not poor: school</v>
      </c>
      <c r="B30" s="98" t="s">
        <v>263</v>
      </c>
      <c r="C30" s="25"/>
    </row>
    <row r="31" spans="1:3" x14ac:dyDescent="0.15">
      <c r="A31" t="str">
        <f>A30</f>
        <v>IFAS not poor: school</v>
      </c>
      <c r="B31" s="98" t="s">
        <v>265</v>
      </c>
      <c r="C31" s="25"/>
    </row>
    <row r="32" spans="1:3" x14ac:dyDescent="0.15">
      <c r="A32" t="str">
        <f>'Programs to include'!A17</f>
        <v>IFAS not poor: school (malaria area)</v>
      </c>
      <c r="B32" s="98" t="s">
        <v>263</v>
      </c>
      <c r="C32" s="25"/>
    </row>
    <row r="33" spans="1:3" x14ac:dyDescent="0.15">
      <c r="A33" t="str">
        <f>A32</f>
        <v>IFAS not poor: school (malaria area)</v>
      </c>
      <c r="B33" s="98" t="s">
        <v>265</v>
      </c>
      <c r="C33" s="25"/>
    </row>
    <row r="34" spans="1:3" x14ac:dyDescent="0.15">
      <c r="A34" t="str">
        <f>'Programs to include'!A18</f>
        <v>IFAS poor: community</v>
      </c>
      <c r="B34" s="98" t="s">
        <v>263</v>
      </c>
      <c r="C34" s="25"/>
    </row>
    <row r="35" spans="1:3" x14ac:dyDescent="0.15">
      <c r="A35" t="str">
        <f>A34</f>
        <v>IFAS poor: community</v>
      </c>
      <c r="B35" s="98" t="s">
        <v>265</v>
      </c>
      <c r="C35" s="25"/>
    </row>
    <row r="36" spans="1:3" x14ac:dyDescent="0.15">
      <c r="A36" t="str">
        <f>'Programs to include'!A19</f>
        <v>IFAS poor: community (malaria area)</v>
      </c>
      <c r="B36" s="98" t="s">
        <v>263</v>
      </c>
      <c r="C36" s="25"/>
    </row>
    <row r="37" spans="1:3" x14ac:dyDescent="0.15">
      <c r="A37" t="str">
        <f>A36</f>
        <v>IFAS poor: community (malaria area)</v>
      </c>
      <c r="B37" s="98" t="s">
        <v>265</v>
      </c>
      <c r="C37" s="25"/>
    </row>
    <row r="38" spans="1:3" x14ac:dyDescent="0.15">
      <c r="A38" t="str">
        <f>'Programs to include'!A20</f>
        <v>IFAS poor: hospital</v>
      </c>
      <c r="B38" s="98" t="s">
        <v>263</v>
      </c>
      <c r="C38" s="25"/>
    </row>
    <row r="39" spans="1:3" x14ac:dyDescent="0.15">
      <c r="A39" t="str">
        <f>A38</f>
        <v>IFAS poor: hospital</v>
      </c>
      <c r="B39" s="98" t="s">
        <v>265</v>
      </c>
      <c r="C39" s="25"/>
    </row>
    <row r="40" spans="1:3" x14ac:dyDescent="0.15">
      <c r="A40" t="str">
        <f>'Programs to include'!A21</f>
        <v>IFAS poor: hospital (malaria area)</v>
      </c>
      <c r="B40" s="98" t="s">
        <v>263</v>
      </c>
      <c r="C40" s="25"/>
    </row>
    <row r="41" spans="1:3" x14ac:dyDescent="0.15">
      <c r="A41" t="str">
        <f>A40</f>
        <v>IFAS poor: hospital (malaria area)</v>
      </c>
      <c r="B41" s="98" t="s">
        <v>265</v>
      </c>
      <c r="C41" s="25"/>
    </row>
    <row r="42" spans="1:3" x14ac:dyDescent="0.15">
      <c r="A42" t="str">
        <f>'Programs to include'!A22</f>
        <v>IFAS poor: school</v>
      </c>
      <c r="B42" s="98" t="s">
        <v>263</v>
      </c>
      <c r="C42" s="25"/>
    </row>
    <row r="43" spans="1:3" x14ac:dyDescent="0.15">
      <c r="A43" t="str">
        <f>A42</f>
        <v>IFAS poor: school</v>
      </c>
      <c r="B43" s="98" t="s">
        <v>265</v>
      </c>
      <c r="C43" s="25"/>
    </row>
    <row r="44" spans="1:3" x14ac:dyDescent="0.15">
      <c r="A44" t="str">
        <f>'Programs to include'!A23</f>
        <v>IFAS poor: school (malaria area)</v>
      </c>
      <c r="B44" s="98" t="s">
        <v>263</v>
      </c>
      <c r="C44" s="25"/>
    </row>
    <row r="45" spans="1:3" x14ac:dyDescent="0.15">
      <c r="A45" t="str">
        <f>A44</f>
        <v>IFAS poor: school (malaria area)</v>
      </c>
      <c r="B45" s="98" t="s">
        <v>265</v>
      </c>
      <c r="C45" s="25"/>
    </row>
    <row r="46" spans="1:3" x14ac:dyDescent="0.15">
      <c r="A46" t="str">
        <f>'Programs to include'!A24</f>
        <v>IPTp</v>
      </c>
      <c r="B46" s="98" t="s">
        <v>263</v>
      </c>
      <c r="C46" s="25"/>
    </row>
    <row r="47" spans="1:3" x14ac:dyDescent="0.15">
      <c r="A47" t="str">
        <f>A46</f>
        <v>IPTp</v>
      </c>
      <c r="B47" s="98" t="s">
        <v>265</v>
      </c>
      <c r="C47" s="25"/>
    </row>
    <row r="48" spans="1:3" x14ac:dyDescent="0.15">
      <c r="A48" t="str">
        <f>'Programs to include'!A25</f>
        <v>Iron and folic acid supplementation for pregnant women</v>
      </c>
      <c r="B48" s="98" t="s">
        <v>263</v>
      </c>
      <c r="C48" s="25"/>
    </row>
    <row r="49" spans="1:3" x14ac:dyDescent="0.15">
      <c r="A49" t="str">
        <f>A48</f>
        <v>Iron and folic acid supplementation for pregnant women</v>
      </c>
      <c r="B49" s="98" t="s">
        <v>265</v>
      </c>
      <c r="C49" s="25"/>
    </row>
    <row r="50" spans="1:3" x14ac:dyDescent="0.15">
      <c r="A50" t="str">
        <f>'Programs to include'!A26</f>
        <v>Iron and folic acid supplementation for pregnant women (malaria area)</v>
      </c>
      <c r="B50" s="98" t="s">
        <v>263</v>
      </c>
      <c r="C50" s="25"/>
    </row>
    <row r="51" spans="1:3" x14ac:dyDescent="0.15">
      <c r="A51" t="str">
        <f>A50</f>
        <v>Iron and folic acid supplementation for pregnant women (malaria area)</v>
      </c>
      <c r="B51" s="98" t="s">
        <v>265</v>
      </c>
      <c r="C51" s="25"/>
    </row>
    <row r="52" spans="1:3" x14ac:dyDescent="0.15">
      <c r="A52" t="str">
        <f>'Programs to include'!A27</f>
        <v>Iron and iodine fortification of salt</v>
      </c>
      <c r="B52" s="98" t="s">
        <v>263</v>
      </c>
      <c r="C52" s="25"/>
    </row>
    <row r="53" spans="1:3" x14ac:dyDescent="0.15">
      <c r="A53" t="str">
        <f>A52</f>
        <v>Iron and iodine fortification of salt</v>
      </c>
      <c r="B53" s="98" t="s">
        <v>265</v>
      </c>
      <c r="C53" s="25"/>
    </row>
    <row r="54" spans="1:3" x14ac:dyDescent="0.15">
      <c r="A54" t="str">
        <f>'Programs to include'!A28</f>
        <v>Long-lasting insecticide-treated bednets</v>
      </c>
      <c r="B54" s="98" t="s">
        <v>263</v>
      </c>
      <c r="C54" s="25"/>
    </row>
    <row r="55" spans="1:3" x14ac:dyDescent="0.15">
      <c r="A55" t="str">
        <f>A54</f>
        <v>Long-lasting insecticide-treated bednets</v>
      </c>
      <c r="B55" s="98" t="s">
        <v>265</v>
      </c>
      <c r="C55" s="25"/>
    </row>
    <row r="56" spans="1:3" x14ac:dyDescent="0.15">
      <c r="A56" t="str">
        <f>'Programs to include'!A29</f>
        <v>Mg for eclampsia</v>
      </c>
      <c r="B56" s="98" t="s">
        <v>263</v>
      </c>
      <c r="C56" s="25"/>
    </row>
    <row r="57" spans="1:3" x14ac:dyDescent="0.15">
      <c r="A57" t="str">
        <f>A56</f>
        <v>Mg for eclampsia</v>
      </c>
      <c r="B57" s="98" t="s">
        <v>265</v>
      </c>
      <c r="C57" s="25"/>
    </row>
    <row r="58" spans="1:3" x14ac:dyDescent="0.15">
      <c r="A58" t="str">
        <f>'Programs to include'!A30</f>
        <v>Mg for pre-eclampsia</v>
      </c>
      <c r="B58" s="98" t="s">
        <v>263</v>
      </c>
      <c r="C58" s="25"/>
    </row>
    <row r="59" spans="1:3" x14ac:dyDescent="0.15">
      <c r="A59" t="str">
        <f>A58</f>
        <v>Mg for pre-eclampsia</v>
      </c>
      <c r="B59" s="98" t="s">
        <v>265</v>
      </c>
      <c r="C59" s="25"/>
    </row>
    <row r="60" spans="1:3" x14ac:dyDescent="0.15">
      <c r="A60" t="str">
        <f>'Programs to include'!A31</f>
        <v>Multiple micronutrient supplementation</v>
      </c>
      <c r="B60" s="98" t="s">
        <v>263</v>
      </c>
      <c r="C60" s="25"/>
    </row>
    <row r="61" spans="1:3" x14ac:dyDescent="0.15">
      <c r="A61" t="str">
        <f>A60</f>
        <v>Multiple micronutrient supplementation</v>
      </c>
      <c r="B61" s="98" t="s">
        <v>265</v>
      </c>
      <c r="C61" s="25"/>
    </row>
    <row r="62" spans="1:3" x14ac:dyDescent="0.15">
      <c r="A62" t="str">
        <f>'Programs to include'!A32</f>
        <v>Multiple micronutrient supplementation (malaria area)</v>
      </c>
      <c r="B62" s="98" t="s">
        <v>263</v>
      </c>
      <c r="C62" s="25"/>
    </row>
    <row r="63" spans="1:3" x14ac:dyDescent="0.15">
      <c r="A63" t="str">
        <f>A62</f>
        <v>Multiple micronutrient supplementation (malaria area)</v>
      </c>
      <c r="B63" s="98" t="s">
        <v>265</v>
      </c>
      <c r="C63" s="25"/>
    </row>
    <row r="64" spans="1:3" x14ac:dyDescent="0.15">
      <c r="A64" t="str">
        <f>'Programs to include'!A33</f>
        <v>Oral rehydration salts</v>
      </c>
      <c r="B64" s="98" t="s">
        <v>263</v>
      </c>
      <c r="C64" s="25"/>
    </row>
    <row r="65" spans="1:3" x14ac:dyDescent="0.15">
      <c r="A65" t="str">
        <f>A64</f>
        <v>Oral rehydration salts</v>
      </c>
      <c r="B65" s="98" t="s">
        <v>265</v>
      </c>
      <c r="C65" s="25"/>
    </row>
    <row r="66" spans="1:3" x14ac:dyDescent="0.15">
      <c r="A66" t="str">
        <f>'Programs to include'!A34</f>
        <v>Public provision of complementary foods</v>
      </c>
      <c r="B66" s="98" t="s">
        <v>263</v>
      </c>
      <c r="C66" s="25"/>
    </row>
    <row r="67" spans="1:3" x14ac:dyDescent="0.15">
      <c r="A67" t="str">
        <f>A66</f>
        <v>Public provision of complementary foods</v>
      </c>
      <c r="B67" s="98" t="s">
        <v>265</v>
      </c>
      <c r="C67" s="25"/>
    </row>
    <row r="68" spans="1:3" x14ac:dyDescent="0.15">
      <c r="A68" t="str">
        <f>'Programs to include'!A35</f>
        <v>Public provision of complementary foods with iron</v>
      </c>
      <c r="B68" s="98" t="s">
        <v>263</v>
      </c>
      <c r="C68" s="25"/>
    </row>
    <row r="69" spans="1:3" x14ac:dyDescent="0.15">
      <c r="A69" t="str">
        <f>A68</f>
        <v>Public provision of complementary foods with iron</v>
      </c>
      <c r="B69" s="98" t="s">
        <v>265</v>
      </c>
      <c r="C69" s="25"/>
    </row>
    <row r="70" spans="1:3" x14ac:dyDescent="0.15">
      <c r="A70" t="str">
        <f>'Programs to include'!A36</f>
        <v>Public provision of complementary foods with iron (malaria area)</v>
      </c>
      <c r="B70" s="98" t="s">
        <v>263</v>
      </c>
      <c r="C70" s="25"/>
    </row>
    <row r="71" spans="1:3" x14ac:dyDescent="0.15">
      <c r="A71" t="str">
        <f>A70</f>
        <v>Public provision of complementary foods with iron (malaria area)</v>
      </c>
      <c r="B71" s="98" t="s">
        <v>265</v>
      </c>
      <c r="C71" s="25"/>
    </row>
    <row r="72" spans="1:3" x14ac:dyDescent="0.15">
      <c r="A72" t="str">
        <f>'Programs to include'!A37</f>
        <v>Sprinkles</v>
      </c>
      <c r="B72" s="98" t="s">
        <v>263</v>
      </c>
      <c r="C72" s="25"/>
    </row>
    <row r="73" spans="1:3" x14ac:dyDescent="0.15">
      <c r="A73" t="str">
        <f>A72</f>
        <v>Sprinkles</v>
      </c>
      <c r="B73" s="98" t="s">
        <v>265</v>
      </c>
      <c r="C73" s="25"/>
    </row>
    <row r="74" spans="1:3" x14ac:dyDescent="0.15">
      <c r="A74" t="str">
        <f>'Programs to include'!A38</f>
        <v>Sprinkles (malaria area)</v>
      </c>
      <c r="B74" s="98" t="s">
        <v>263</v>
      </c>
      <c r="C74" s="25"/>
    </row>
    <row r="75" spans="1:3" x14ac:dyDescent="0.15">
      <c r="A75" t="str">
        <f>A74</f>
        <v>Sprinkles (malaria area)</v>
      </c>
      <c r="B75" s="98" t="s">
        <v>265</v>
      </c>
      <c r="C75" s="25"/>
    </row>
    <row r="76" spans="1:3" x14ac:dyDescent="0.15">
      <c r="A76" t="str">
        <f>'Programs to include'!A39</f>
        <v>Treatment of MAM</v>
      </c>
      <c r="B76" s="98" t="s">
        <v>263</v>
      </c>
      <c r="C76" s="25"/>
    </row>
    <row r="77" spans="1:3" x14ac:dyDescent="0.15">
      <c r="A77" t="str">
        <f>A76</f>
        <v>Treatment of MAM</v>
      </c>
      <c r="B77" s="98" t="s">
        <v>265</v>
      </c>
      <c r="C77" s="25"/>
    </row>
    <row r="78" spans="1:3" x14ac:dyDescent="0.15">
      <c r="A78" t="str">
        <f>'Programs to include'!A40</f>
        <v>Treatment of SAM</v>
      </c>
      <c r="B78" s="98" t="s">
        <v>263</v>
      </c>
      <c r="C78" s="25"/>
    </row>
    <row r="79" spans="1:3" x14ac:dyDescent="0.15">
      <c r="A79" t="str">
        <f>A78</f>
        <v>Treatment of SAM</v>
      </c>
      <c r="B79" s="98" t="s">
        <v>265</v>
      </c>
      <c r="C79" s="25"/>
    </row>
    <row r="80" spans="1:3" x14ac:dyDescent="0.15">
      <c r="A80" t="str">
        <f>'Programs to include'!A41</f>
        <v>Vitamin A supplementation</v>
      </c>
      <c r="B80" s="98" t="s">
        <v>263</v>
      </c>
      <c r="C80" s="25"/>
    </row>
    <row r="81" spans="1:3" x14ac:dyDescent="0.15">
      <c r="A81" t="str">
        <f>A80</f>
        <v>Vitamin A supplementation</v>
      </c>
      <c r="B81" s="98" t="s">
        <v>265</v>
      </c>
      <c r="C81" s="25"/>
    </row>
    <row r="82" spans="1:3" x14ac:dyDescent="0.15">
      <c r="A82" t="str">
        <f>'Programs to include'!A42</f>
        <v>WASH: Handwashing</v>
      </c>
      <c r="B82" s="98" t="s">
        <v>263</v>
      </c>
      <c r="C82" s="25"/>
    </row>
    <row r="83" spans="1:3" x14ac:dyDescent="0.15">
      <c r="A83" t="str">
        <f>A82</f>
        <v>WASH: Handwashing</v>
      </c>
      <c r="B83" s="98" t="s">
        <v>265</v>
      </c>
      <c r="C83" s="25"/>
    </row>
    <row r="84" spans="1:3" x14ac:dyDescent="0.15">
      <c r="A84" t="str">
        <f>'Programs to include'!A43</f>
        <v>WASH: Hygenic disposal</v>
      </c>
      <c r="B84" s="98" t="s">
        <v>263</v>
      </c>
      <c r="C84" s="25"/>
    </row>
    <row r="85" spans="1:3" x14ac:dyDescent="0.15">
      <c r="A85" t="str">
        <f>A84</f>
        <v>WASH: Hygenic disposal</v>
      </c>
      <c r="B85" s="98" t="s">
        <v>265</v>
      </c>
      <c r="C85" s="25"/>
    </row>
    <row r="86" spans="1:3" x14ac:dyDescent="0.15">
      <c r="A86" t="str">
        <f>'Programs to include'!A44</f>
        <v>WASH: Improved sanitation</v>
      </c>
      <c r="B86" s="98" t="s">
        <v>263</v>
      </c>
      <c r="C86" s="25"/>
    </row>
    <row r="87" spans="1:3" x14ac:dyDescent="0.15">
      <c r="A87" t="str">
        <f>A86</f>
        <v>WASH: Improved sanitation</v>
      </c>
      <c r="B87" s="98" t="s">
        <v>265</v>
      </c>
      <c r="C87" s="25"/>
    </row>
    <row r="88" spans="1:3" x14ac:dyDescent="0.15">
      <c r="A88" t="str">
        <f>'Programs to include'!A45</f>
        <v>WASH: Improved water source</v>
      </c>
      <c r="B88" s="98" t="s">
        <v>263</v>
      </c>
      <c r="C88" s="25"/>
    </row>
    <row r="89" spans="1:3" x14ac:dyDescent="0.15">
      <c r="A89" t="str">
        <f>A88</f>
        <v>WASH: Improved water source</v>
      </c>
      <c r="B89" s="98" t="s">
        <v>265</v>
      </c>
      <c r="C89" s="25"/>
    </row>
    <row r="90" spans="1:3" x14ac:dyDescent="0.15">
      <c r="A90" t="str">
        <f>'Programs to include'!A46</f>
        <v>WASH: Piped water</v>
      </c>
      <c r="B90" s="98" t="s">
        <v>263</v>
      </c>
      <c r="C90" s="25"/>
    </row>
    <row r="91" spans="1:3" x14ac:dyDescent="0.15">
      <c r="A91" t="str">
        <f>A90</f>
        <v>WASH: Piped water</v>
      </c>
      <c r="B91" s="98" t="s">
        <v>265</v>
      </c>
      <c r="C91" s="25"/>
    </row>
    <row r="92" spans="1:3" x14ac:dyDescent="0.15">
      <c r="A92" t="str">
        <f>'Programs to include'!A47</f>
        <v>Zinc for treatment + ORS</v>
      </c>
      <c r="B92" s="98" t="s">
        <v>263</v>
      </c>
      <c r="C92" s="25"/>
    </row>
    <row r="93" spans="1:3" x14ac:dyDescent="0.15">
      <c r="A93" t="str">
        <f>A92</f>
        <v>Zinc for treatment + ORS</v>
      </c>
      <c r="B93" s="98" t="s">
        <v>265</v>
      </c>
      <c r="C93" s="25"/>
    </row>
    <row r="94" spans="1:3" x14ac:dyDescent="0.15">
      <c r="A94" t="str">
        <f>'Programs to include'!A48</f>
        <v>Zinc supplementation</v>
      </c>
      <c r="B94" s="98" t="s">
        <v>263</v>
      </c>
      <c r="C94" s="25"/>
    </row>
    <row r="95" spans="1:3" x14ac:dyDescent="0.15">
      <c r="A95" t="str">
        <f>A94</f>
        <v>Zinc supplementation</v>
      </c>
      <c r="B95" s="98" t="s">
        <v>265</v>
      </c>
      <c r="C95" s="25"/>
    </row>
    <row r="96" spans="1:3" x14ac:dyDescent="0.15">
      <c r="A96" t="str">
        <f>'Programs to include'!A49</f>
        <v>IYCF 1</v>
      </c>
      <c r="B96" s="98" t="s">
        <v>263</v>
      </c>
      <c r="C96" s="25"/>
    </row>
    <row r="97" spans="1:3" x14ac:dyDescent="0.15">
      <c r="A97" t="str">
        <f>A96</f>
        <v>IYCF 1</v>
      </c>
      <c r="B97" s="98" t="s">
        <v>265</v>
      </c>
      <c r="C97" s="25"/>
    </row>
    <row r="98" spans="1:3" x14ac:dyDescent="0.15">
      <c r="A98" t="str">
        <f>'Programs to include'!A50</f>
        <v>IYCF 2</v>
      </c>
      <c r="B98" s="98" t="s">
        <v>263</v>
      </c>
      <c r="C98" s="25"/>
    </row>
    <row r="99" spans="1:3" x14ac:dyDescent="0.15">
      <c r="A99" t="str">
        <f>A98</f>
        <v>IYCF 2</v>
      </c>
      <c r="B99" s="98" t="s">
        <v>265</v>
      </c>
      <c r="C99" s="25"/>
    </row>
    <row r="100" spans="1:3" x14ac:dyDescent="0.15">
      <c r="A100" t="str">
        <f>'Programs to include'!A51</f>
        <v>IYCF 3</v>
      </c>
      <c r="B100" s="98" t="s">
        <v>263</v>
      </c>
      <c r="C100" s="25"/>
    </row>
    <row r="101" spans="1:3" x14ac:dyDescent="0.15">
      <c r="A101" t="str">
        <f>A100</f>
        <v>IYCF 3</v>
      </c>
      <c r="B101" s="98" t="s">
        <v>265</v>
      </c>
      <c r="C101" s="25"/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sheetPr>
    <tabColor theme="7" tint="-0.249977111117893"/>
  </sheetPr>
  <dimension ref="A1:B9"/>
  <sheetViews>
    <sheetView workbookViewId="0">
      <selection activeCell="A29" sqref="A29"/>
    </sheetView>
    <sheetView workbookViewId="1"/>
  </sheetViews>
  <sheetFormatPr baseColWidth="10" defaultRowHeight="13" x14ac:dyDescent="0.15"/>
  <cols>
    <col min="1" max="1" width="28.6640625" customWidth="1"/>
  </cols>
  <sheetData>
    <row r="1" spans="1:2" x14ac:dyDescent="0.15">
      <c r="A1" s="7" t="s">
        <v>196</v>
      </c>
      <c r="B1" s="7"/>
    </row>
    <row r="2" spans="1:2" x14ac:dyDescent="0.15">
      <c r="A2" s="98" t="s">
        <v>178</v>
      </c>
    </row>
    <row r="3" spans="1:2" x14ac:dyDescent="0.15">
      <c r="A3" s="98" t="s">
        <v>112</v>
      </c>
    </row>
    <row r="4" spans="1:2" x14ac:dyDescent="0.15">
      <c r="A4" s="4" t="s">
        <v>75</v>
      </c>
    </row>
    <row r="5" spans="1:2" x14ac:dyDescent="0.15">
      <c r="A5" t="s">
        <v>253</v>
      </c>
    </row>
    <row r="6" spans="1:2" x14ac:dyDescent="0.15">
      <c r="A6" t="s">
        <v>252</v>
      </c>
    </row>
    <row r="7" spans="1:2" x14ac:dyDescent="0.15">
      <c r="A7" t="s">
        <v>251</v>
      </c>
    </row>
    <row r="8" spans="1:2" x14ac:dyDescent="0.15">
      <c r="A8" t="s">
        <v>249</v>
      </c>
    </row>
    <row r="9" spans="1:2" x14ac:dyDescent="0.15">
      <c r="A9" t="s">
        <v>250</v>
      </c>
    </row>
  </sheetData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7" tint="-0.249977111117893"/>
  </sheetPr>
  <dimension ref="A1:E51"/>
  <sheetViews>
    <sheetView workbookViewId="0">
      <selection activeCell="A29" sqref="A29"/>
    </sheetView>
    <sheetView workbookViewId="1">
      <selection activeCell="B6" sqref="B6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196</v>
      </c>
      <c r="B1" s="1" t="s">
        <v>205</v>
      </c>
      <c r="C1" s="1" t="s">
        <v>134</v>
      </c>
      <c r="D1" s="1" t="s">
        <v>135</v>
      </c>
    </row>
    <row r="2" spans="1:5" ht="15.75" customHeight="1" x14ac:dyDescent="0.15">
      <c r="A2" s="98" t="str">
        <f>'Programs to include'!A2</f>
        <v>Balanced energy-protein supplementation</v>
      </c>
      <c r="B2" s="11">
        <v>0</v>
      </c>
      <c r="C2" s="11">
        <v>0.95</v>
      </c>
      <c r="D2" s="11">
        <v>1</v>
      </c>
    </row>
    <row r="3" spans="1:5" ht="15.75" customHeight="1" x14ac:dyDescent="0.15">
      <c r="A3" s="98" t="str">
        <f>'Programs to include'!A3</f>
        <v>Birth age program</v>
      </c>
      <c r="B3" s="11">
        <v>0</v>
      </c>
      <c r="C3" s="11">
        <v>0.95</v>
      </c>
      <c r="D3" s="11">
        <v>1</v>
      </c>
      <c r="E3" s="47"/>
    </row>
    <row r="4" spans="1:5" ht="15.75" customHeight="1" x14ac:dyDescent="0.15">
      <c r="A4" s="98" t="str">
        <f>'Programs to include'!A4</f>
        <v>Calcium supplementation</v>
      </c>
      <c r="B4" s="11">
        <v>0</v>
      </c>
      <c r="C4" s="11">
        <v>0.95</v>
      </c>
      <c r="D4" s="11">
        <v>1</v>
      </c>
      <c r="E4" s="4"/>
    </row>
    <row r="5" spans="1:5" ht="15.75" customHeight="1" x14ac:dyDescent="0.15">
      <c r="A5" s="98" t="str">
        <f>'Programs to include'!A5</f>
        <v>Cash transfers</v>
      </c>
      <c r="B5" s="11">
        <v>0</v>
      </c>
      <c r="C5" s="11">
        <v>0.95</v>
      </c>
      <c r="D5" s="11">
        <v>1</v>
      </c>
      <c r="E5" s="4"/>
    </row>
    <row r="6" spans="1:5" ht="15.75" customHeight="1" x14ac:dyDescent="0.15">
      <c r="A6" s="98" t="str">
        <f>'Programs to include'!A6</f>
        <v>Family Planning</v>
      </c>
      <c r="B6" s="11">
        <v>0</v>
      </c>
      <c r="C6" s="11">
        <v>0.95</v>
      </c>
      <c r="D6" s="11">
        <v>1</v>
      </c>
      <c r="E6" s="41"/>
    </row>
    <row r="7" spans="1:5" ht="15.75" customHeight="1" x14ac:dyDescent="0.15">
      <c r="A7" s="98" t="str">
        <f>'Programs to include'!A7</f>
        <v>IFA fortification of maize</v>
      </c>
      <c r="B7" s="11">
        <v>0</v>
      </c>
      <c r="C7" s="11">
        <v>0.95</v>
      </c>
      <c r="D7" s="11">
        <v>1</v>
      </c>
      <c r="E7" s="9"/>
    </row>
    <row r="8" spans="1:5" ht="15.75" customHeight="1" x14ac:dyDescent="0.15">
      <c r="A8" s="98" t="str">
        <f>'Programs to include'!A8</f>
        <v>IFA fortification of rice</v>
      </c>
      <c r="B8" s="11">
        <v>0</v>
      </c>
      <c r="C8" s="11">
        <v>0.95</v>
      </c>
      <c r="D8" s="11">
        <v>1</v>
      </c>
      <c r="E8" s="9"/>
    </row>
    <row r="9" spans="1:5" ht="15.75" customHeight="1" x14ac:dyDescent="0.15">
      <c r="A9" s="98" t="str">
        <f>'Programs to include'!A9</f>
        <v>IFA fortification of wheat flour</v>
      </c>
      <c r="B9" s="11">
        <v>0</v>
      </c>
      <c r="C9" s="11">
        <v>0.95</v>
      </c>
      <c r="D9" s="11">
        <v>1</v>
      </c>
      <c r="E9" s="9"/>
    </row>
    <row r="10" spans="1:5" ht="15.75" customHeight="1" x14ac:dyDescent="0.15">
      <c r="A10" s="98" t="str">
        <f>'Programs to include'!A10</f>
        <v>IFAS not poor: community</v>
      </c>
      <c r="B10" s="11">
        <v>0</v>
      </c>
      <c r="C10" s="11">
        <v>0.95</v>
      </c>
      <c r="D10" s="11">
        <v>1</v>
      </c>
    </row>
    <row r="11" spans="1:5" ht="15.75" customHeight="1" x14ac:dyDescent="0.15">
      <c r="A11" s="98" t="str">
        <f>'Programs to include'!A11</f>
        <v>IFAS not poor: community (malaria area)</v>
      </c>
      <c r="B11" s="11">
        <v>0</v>
      </c>
      <c r="C11" s="11">
        <v>0.95</v>
      </c>
      <c r="D11" s="11">
        <v>1</v>
      </c>
    </row>
    <row r="12" spans="1:5" ht="15.75" customHeight="1" x14ac:dyDescent="0.15">
      <c r="A12" s="98" t="str">
        <f>'Programs to include'!A12</f>
        <v>IFAS not poor: hospital</v>
      </c>
      <c r="B12" s="11">
        <v>0</v>
      </c>
      <c r="C12" s="11">
        <v>0.95</v>
      </c>
      <c r="D12" s="11">
        <v>1</v>
      </c>
    </row>
    <row r="13" spans="1:5" ht="15.75" customHeight="1" x14ac:dyDescent="0.15">
      <c r="A13" s="98" t="str">
        <f>'Programs to include'!A13</f>
        <v>IFAS not poor: hospital (malaria area)</v>
      </c>
      <c r="B13" s="11">
        <v>0</v>
      </c>
      <c r="C13" s="11">
        <v>0.95</v>
      </c>
      <c r="D13" s="11">
        <v>1</v>
      </c>
    </row>
    <row r="14" spans="1:5" ht="15.75" customHeight="1" x14ac:dyDescent="0.15">
      <c r="A14" s="98" t="str">
        <f>'Programs to include'!A14</f>
        <v>IFAS not poor: retailer</v>
      </c>
      <c r="B14" s="11">
        <v>0</v>
      </c>
      <c r="C14" s="11">
        <v>0.95</v>
      </c>
      <c r="D14" s="11">
        <v>1</v>
      </c>
    </row>
    <row r="15" spans="1:5" ht="15.75" customHeight="1" x14ac:dyDescent="0.15">
      <c r="A15" s="98" t="str">
        <f>'Programs to include'!A15</f>
        <v>IFAS not poor: retailer (malaria area)</v>
      </c>
      <c r="B15" s="11">
        <v>0</v>
      </c>
      <c r="C15" s="11">
        <v>0.95</v>
      </c>
      <c r="D15" s="11">
        <v>1</v>
      </c>
    </row>
    <row r="16" spans="1:5" ht="15.75" customHeight="1" x14ac:dyDescent="0.15">
      <c r="A16" s="98" t="str">
        <f>'Programs to include'!A16</f>
        <v>IFAS not poor: school</v>
      </c>
      <c r="B16" s="11">
        <v>0</v>
      </c>
      <c r="C16" s="11">
        <v>0.95</v>
      </c>
      <c r="D16" s="11">
        <v>1</v>
      </c>
    </row>
    <row r="17" spans="1:5" ht="15.75" customHeight="1" x14ac:dyDescent="0.15">
      <c r="A17" s="98" t="str">
        <f>'Programs to include'!A17</f>
        <v>IFAS not poor: school (malaria area)</v>
      </c>
      <c r="B17" s="11">
        <v>0</v>
      </c>
      <c r="C17" s="11">
        <v>0.95</v>
      </c>
      <c r="D17" s="11">
        <v>1</v>
      </c>
    </row>
    <row r="18" spans="1:5" ht="15.75" customHeight="1" x14ac:dyDescent="0.15">
      <c r="A18" s="98" t="str">
        <f>'Programs to include'!A18</f>
        <v>IFAS poor: community</v>
      </c>
      <c r="B18" s="11">
        <v>0</v>
      </c>
      <c r="C18" s="11">
        <v>0.95</v>
      </c>
      <c r="D18" s="11">
        <v>1</v>
      </c>
    </row>
    <row r="19" spans="1:5" ht="15.75" customHeight="1" x14ac:dyDescent="0.15">
      <c r="A19" s="98" t="str">
        <f>'Programs to include'!A19</f>
        <v>IFAS poor: community (malaria area)</v>
      </c>
      <c r="B19" s="11">
        <v>0</v>
      </c>
      <c r="C19" s="11">
        <v>0.95</v>
      </c>
      <c r="D19" s="11">
        <v>1</v>
      </c>
    </row>
    <row r="20" spans="1:5" ht="15.75" customHeight="1" x14ac:dyDescent="0.15">
      <c r="A20" s="98" t="str">
        <f>'Programs to include'!A20</f>
        <v>IFAS poor: hospital</v>
      </c>
      <c r="B20" s="11">
        <v>0</v>
      </c>
      <c r="C20" s="11">
        <v>0.95</v>
      </c>
      <c r="D20" s="11">
        <v>1</v>
      </c>
    </row>
    <row r="21" spans="1:5" ht="15.75" customHeight="1" x14ac:dyDescent="0.15">
      <c r="A21" s="98" t="str">
        <f>'Programs to include'!A21</f>
        <v>IFAS poor: hospital (malaria area)</v>
      </c>
      <c r="B21" s="11">
        <v>0</v>
      </c>
      <c r="C21" s="11">
        <v>0.95</v>
      </c>
      <c r="D21" s="11">
        <v>1</v>
      </c>
    </row>
    <row r="22" spans="1:5" ht="15.75" customHeight="1" x14ac:dyDescent="0.15">
      <c r="A22" s="98" t="str">
        <f>'Programs to include'!A22</f>
        <v>IFAS poor: school</v>
      </c>
      <c r="B22" s="11">
        <v>0</v>
      </c>
      <c r="C22" s="11">
        <v>0.95</v>
      </c>
      <c r="D22" s="11">
        <v>1</v>
      </c>
    </row>
    <row r="23" spans="1:5" ht="15.75" customHeight="1" x14ac:dyDescent="0.15">
      <c r="A23" s="98" t="str">
        <f>'Programs to include'!A23</f>
        <v>IFAS poor: school (malaria area)</v>
      </c>
      <c r="B23" s="11">
        <v>0</v>
      </c>
      <c r="C23" s="11">
        <v>0.95</v>
      </c>
      <c r="D23" s="11">
        <v>1</v>
      </c>
    </row>
    <row r="24" spans="1:5" ht="15.75" customHeight="1" x14ac:dyDescent="0.15">
      <c r="A24" s="98" t="str">
        <f>'Programs to include'!A24</f>
        <v>IPTp</v>
      </c>
      <c r="B24" s="11">
        <v>0</v>
      </c>
      <c r="C24" s="11">
        <v>0.95</v>
      </c>
      <c r="D24" s="11">
        <v>1</v>
      </c>
    </row>
    <row r="25" spans="1:5" ht="15.75" customHeight="1" x14ac:dyDescent="0.15">
      <c r="A25" s="98" t="str">
        <f>'Programs to include'!A25</f>
        <v>Iron and folic acid supplementation for pregnant women</v>
      </c>
      <c r="B25" s="11">
        <v>0</v>
      </c>
      <c r="C25" s="11">
        <v>0.95</v>
      </c>
      <c r="D25" s="11">
        <v>1</v>
      </c>
      <c r="E25" s="4"/>
    </row>
    <row r="26" spans="1:5" ht="15.75" customHeight="1" x14ac:dyDescent="0.15">
      <c r="A26" s="98" t="str">
        <f>'Programs to include'!A26</f>
        <v>Iron and folic acid supplementation for pregnant women (malaria area)</v>
      </c>
      <c r="B26" s="11">
        <v>0</v>
      </c>
      <c r="C26" s="11">
        <v>0.95</v>
      </c>
      <c r="D26" s="11">
        <v>1</v>
      </c>
      <c r="E26" s="4"/>
    </row>
    <row r="27" spans="1:5" ht="15.75" customHeight="1" x14ac:dyDescent="0.15">
      <c r="A27" s="98" t="str">
        <f>'Programs to include'!A27</f>
        <v>Iron and iodine fortification of salt</v>
      </c>
      <c r="B27" s="11">
        <v>0</v>
      </c>
      <c r="C27" s="11">
        <v>0.95</v>
      </c>
      <c r="D27" s="11">
        <v>1</v>
      </c>
      <c r="E27" s="4"/>
    </row>
    <row r="28" spans="1:5" ht="15.75" customHeight="1" x14ac:dyDescent="0.15">
      <c r="A28" s="98" t="str">
        <f>'Programs to include'!A28</f>
        <v>Long-lasting insecticide-treated bednets</v>
      </c>
      <c r="B28" s="11">
        <v>0</v>
      </c>
      <c r="C28" s="11">
        <v>0.95</v>
      </c>
      <c r="D28" s="11">
        <v>1</v>
      </c>
    </row>
    <row r="29" spans="1:5" ht="15.75" customHeight="1" x14ac:dyDescent="0.15">
      <c r="A29" s="98" t="str">
        <f>'Programs to include'!A29</f>
        <v>Mg for eclampsia</v>
      </c>
      <c r="B29" s="11">
        <v>0</v>
      </c>
      <c r="C29" s="11">
        <v>0.95</v>
      </c>
      <c r="D29" s="11">
        <v>1</v>
      </c>
    </row>
    <row r="30" spans="1:5" ht="15.75" customHeight="1" x14ac:dyDescent="0.15">
      <c r="A30" s="98" t="str">
        <f>'Programs to include'!A30</f>
        <v>Mg for pre-eclampsia</v>
      </c>
      <c r="B30" s="11">
        <v>0</v>
      </c>
      <c r="C30" s="11">
        <v>0.95</v>
      </c>
      <c r="D30" s="11">
        <v>1</v>
      </c>
    </row>
    <row r="31" spans="1:5" ht="15.75" customHeight="1" x14ac:dyDescent="0.15">
      <c r="A31" s="98" t="str">
        <f>'Programs to include'!A31</f>
        <v>Multiple micronutrient supplementation</v>
      </c>
      <c r="B31" s="11">
        <v>0</v>
      </c>
      <c r="C31" s="11">
        <v>0.95</v>
      </c>
      <c r="D31" s="11">
        <v>1</v>
      </c>
      <c r="E31" s="4"/>
    </row>
    <row r="32" spans="1:5" ht="15.75" customHeight="1" x14ac:dyDescent="0.15">
      <c r="A32" s="98" t="str">
        <f>'Programs to include'!A32</f>
        <v>Multiple micronutrient supplementation (malaria area)</v>
      </c>
      <c r="B32" s="11">
        <v>0</v>
      </c>
      <c r="C32" s="11">
        <v>0.95</v>
      </c>
      <c r="D32" s="11">
        <v>1</v>
      </c>
      <c r="E32" s="4"/>
    </row>
    <row r="33" spans="1:5" ht="15.75" customHeight="1" x14ac:dyDescent="0.15">
      <c r="A33" s="98" t="str">
        <f>'Programs to include'!A33</f>
        <v>Oral rehydration salts</v>
      </c>
      <c r="B33" s="11">
        <v>0</v>
      </c>
      <c r="C33" s="11">
        <v>0.95</v>
      </c>
      <c r="D33" s="11">
        <v>1</v>
      </c>
      <c r="E33" s="4"/>
    </row>
    <row r="34" spans="1:5" ht="15.75" customHeight="1" x14ac:dyDescent="0.15">
      <c r="A34" s="98" t="str">
        <f>'Programs to include'!A34</f>
        <v>Public provision of complementary foods</v>
      </c>
      <c r="B34" s="11">
        <v>0.6</v>
      </c>
      <c r="C34" s="11">
        <v>0.95</v>
      </c>
      <c r="D34" s="11">
        <v>1</v>
      </c>
      <c r="E34" s="4"/>
    </row>
    <row r="35" spans="1:5" ht="15.75" customHeight="1" x14ac:dyDescent="0.15">
      <c r="A35" s="98" t="str">
        <f>'Programs to include'!A35</f>
        <v>Public provision of complementary foods with iron</v>
      </c>
      <c r="B35" s="11">
        <v>0</v>
      </c>
      <c r="C35" s="11">
        <v>0.95</v>
      </c>
      <c r="D35" s="11">
        <v>1</v>
      </c>
      <c r="E35" s="21"/>
    </row>
    <row r="36" spans="1:5" ht="15.75" customHeight="1" x14ac:dyDescent="0.15">
      <c r="A36" s="98" t="str">
        <f>'Programs to include'!A36</f>
        <v>Public provision of complementary foods with iron (malaria area)</v>
      </c>
      <c r="B36" s="11">
        <v>0</v>
      </c>
      <c r="C36" s="11">
        <v>0.95</v>
      </c>
      <c r="D36" s="11">
        <v>1</v>
      </c>
      <c r="E36" s="4"/>
    </row>
    <row r="37" spans="1:5" ht="15.75" customHeight="1" x14ac:dyDescent="0.15">
      <c r="A37" s="98" t="str">
        <f>'Programs to include'!A37</f>
        <v>Sprinkles</v>
      </c>
      <c r="B37" s="11">
        <v>0</v>
      </c>
      <c r="C37" s="11">
        <v>0.95</v>
      </c>
      <c r="D37" s="11">
        <v>1</v>
      </c>
      <c r="E37" s="4"/>
    </row>
    <row r="38" spans="1:5" ht="15.75" customHeight="1" x14ac:dyDescent="0.15">
      <c r="A38" s="98" t="str">
        <f>'Programs to include'!A38</f>
        <v>Sprinkles (malaria area)</v>
      </c>
      <c r="B38" s="11">
        <v>0</v>
      </c>
      <c r="C38" s="11">
        <v>0.95</v>
      </c>
      <c r="D38" s="11">
        <v>1</v>
      </c>
      <c r="E38" s="4"/>
    </row>
    <row r="39" spans="1:5" ht="15.75" customHeight="1" x14ac:dyDescent="0.15">
      <c r="A39" s="98" t="str">
        <f>'Programs to include'!A39</f>
        <v>Treatment of MAM</v>
      </c>
      <c r="B39" s="11">
        <v>0</v>
      </c>
      <c r="C39" s="11">
        <v>0.95</v>
      </c>
      <c r="D39" s="11">
        <v>1</v>
      </c>
    </row>
    <row r="40" spans="1:5" ht="15.75" customHeight="1" x14ac:dyDescent="0.15">
      <c r="A40" s="98" t="str">
        <f>'Programs to include'!A40</f>
        <v>Treatment of SAM</v>
      </c>
      <c r="B40" s="11">
        <v>0</v>
      </c>
      <c r="C40" s="11">
        <v>0.95</v>
      </c>
      <c r="D40" s="11">
        <v>1</v>
      </c>
    </row>
    <row r="41" spans="1:5" ht="15.75" customHeight="1" x14ac:dyDescent="0.15">
      <c r="A41" s="98" t="str">
        <f>'Programs to include'!A41</f>
        <v>Vitamin A supplementation</v>
      </c>
      <c r="B41" s="11">
        <v>0</v>
      </c>
      <c r="C41" s="11">
        <v>0.95</v>
      </c>
      <c r="D41" s="11">
        <v>1</v>
      </c>
    </row>
    <row r="42" spans="1:5" ht="15.75" customHeight="1" x14ac:dyDescent="0.15">
      <c r="A42" s="98" t="str">
        <f>'Programs to include'!A42</f>
        <v>WASH: Handwashing</v>
      </c>
      <c r="B42" s="11">
        <v>0</v>
      </c>
      <c r="C42" s="11">
        <v>0.95</v>
      </c>
      <c r="D42" s="11">
        <v>1</v>
      </c>
    </row>
    <row r="43" spans="1:5" ht="15.75" customHeight="1" x14ac:dyDescent="0.15">
      <c r="A43" s="98" t="str">
        <f>'Programs to include'!A43</f>
        <v>WASH: Hygenic disposal</v>
      </c>
      <c r="B43" s="11">
        <v>0</v>
      </c>
      <c r="C43" s="11">
        <v>0.95</v>
      </c>
      <c r="D43" s="11">
        <v>1</v>
      </c>
    </row>
    <row r="44" spans="1:5" ht="15.75" customHeight="1" x14ac:dyDescent="0.15">
      <c r="A44" s="98" t="str">
        <f>'Programs to include'!A44</f>
        <v>WASH: Improved sanitation</v>
      </c>
      <c r="B44" s="11">
        <v>0</v>
      </c>
      <c r="C44" s="11">
        <v>0.95</v>
      </c>
      <c r="D44" s="11">
        <v>1</v>
      </c>
    </row>
    <row r="45" spans="1:5" ht="15.75" customHeight="1" x14ac:dyDescent="0.15">
      <c r="A45" s="98" t="str">
        <f>'Programs to include'!A45</f>
        <v>WASH: Improved water source</v>
      </c>
      <c r="B45" s="11">
        <v>0</v>
      </c>
      <c r="C45" s="11">
        <v>0.95</v>
      </c>
      <c r="D45" s="11">
        <v>1</v>
      </c>
    </row>
    <row r="46" spans="1:5" ht="15.75" customHeight="1" x14ac:dyDescent="0.15">
      <c r="A46" s="98" t="str">
        <f>'Programs to include'!A46</f>
        <v>WASH: Piped water</v>
      </c>
      <c r="B46" s="11">
        <v>0</v>
      </c>
      <c r="C46" s="11">
        <v>0.95</v>
      </c>
      <c r="D46" s="11">
        <v>1</v>
      </c>
    </row>
    <row r="47" spans="1:5" ht="15.75" customHeight="1" x14ac:dyDescent="0.15">
      <c r="A47" s="98" t="str">
        <f>'Programs to include'!A47</f>
        <v>Zinc for treatment + ORS</v>
      </c>
      <c r="B47" s="11">
        <v>0</v>
      </c>
      <c r="C47" s="11">
        <v>0.95</v>
      </c>
      <c r="D47" s="11">
        <v>1</v>
      </c>
    </row>
    <row r="48" spans="1:5" ht="15.75" customHeight="1" x14ac:dyDescent="0.15">
      <c r="A48" s="98" t="str">
        <f>'Programs to include'!A48</f>
        <v>Zinc supplementation</v>
      </c>
      <c r="B48" s="11">
        <v>0</v>
      </c>
      <c r="C48" s="11">
        <v>0.95</v>
      </c>
      <c r="D48" s="11">
        <v>1</v>
      </c>
    </row>
    <row r="49" spans="1:4" s="8" customFormat="1" ht="15.75" customHeight="1" x14ac:dyDescent="0.15">
      <c r="A49" s="98" t="str">
        <f>'Programs to include'!A49</f>
        <v>IYCF 1</v>
      </c>
      <c r="B49" s="11">
        <v>0</v>
      </c>
      <c r="C49" s="11">
        <v>0.95</v>
      </c>
      <c r="D49" s="125" t="s">
        <v>261</v>
      </c>
    </row>
    <row r="50" spans="1:4" ht="15.75" customHeight="1" x14ac:dyDescent="0.15">
      <c r="A50" s="98" t="str">
        <f>'Programs to include'!A50</f>
        <v>IYCF 2</v>
      </c>
      <c r="B50" s="11">
        <v>0</v>
      </c>
      <c r="C50" s="11">
        <v>0.95</v>
      </c>
      <c r="D50" s="125" t="s">
        <v>261</v>
      </c>
    </row>
    <row r="51" spans="1:4" ht="15.75" customHeight="1" x14ac:dyDescent="0.15">
      <c r="A51" s="98" t="str">
        <f>'Programs to include'!A51</f>
        <v>IYCF 3</v>
      </c>
      <c r="B51" s="11">
        <v>0</v>
      </c>
      <c r="C51" s="11">
        <v>0.95</v>
      </c>
      <c r="D51" s="125" t="s">
        <v>261</v>
      </c>
    </row>
  </sheetData>
  <sortState ref="A2:D49">
    <sortCondition ref="A1"/>
  </sortState>
  <pageMargins left="0.75" right="0.75" top="1" bottom="1" header="0.5" footer="0.5"/>
  <pageSetup paperSize="9" orientation="portrait" horizontalDpi="4294967292" verticalDpi="429496729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 tint="0.39997558519241921"/>
  </sheetPr>
  <dimension ref="A1:F6"/>
  <sheetViews>
    <sheetView workbookViewId="0">
      <selection activeCell="C9" sqref="C9"/>
    </sheetView>
    <sheetView workbookViewId="1"/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7" t="s">
        <v>186</v>
      </c>
      <c r="B1" s="7" t="s">
        <v>187</v>
      </c>
    </row>
    <row r="2" spans="1:6" ht="15.75" customHeight="1" x14ac:dyDescent="0.2">
      <c r="A2" t="s">
        <v>6</v>
      </c>
      <c r="B2" s="121" t="s">
        <v>37</v>
      </c>
    </row>
    <row r="3" spans="1:6" ht="15" x14ac:dyDescent="0.2">
      <c r="A3" t="s">
        <v>7</v>
      </c>
      <c r="B3" s="121" t="s">
        <v>37</v>
      </c>
    </row>
    <row r="4" spans="1:6" ht="15.75" customHeight="1" x14ac:dyDescent="0.2">
      <c r="A4" t="s">
        <v>8</v>
      </c>
      <c r="B4" s="121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121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122" t="s">
        <v>40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 tint="0.39997558519241921"/>
  </sheetPr>
  <dimension ref="A1:J51"/>
  <sheetViews>
    <sheetView zoomScale="139" workbookViewId="0">
      <selection activeCell="A15" sqref="A15"/>
    </sheetView>
    <sheetView workbookViewId="1"/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7" t="s">
        <v>149</v>
      </c>
      <c r="B1" s="7" t="s">
        <v>152</v>
      </c>
      <c r="C1" s="7" t="s">
        <v>148</v>
      </c>
      <c r="D1" s="7" t="s">
        <v>6</v>
      </c>
      <c r="E1" s="7" t="s">
        <v>7</v>
      </c>
      <c r="F1" s="7" t="s">
        <v>8</v>
      </c>
      <c r="G1" s="7" t="s">
        <v>9</v>
      </c>
      <c r="H1" s="37" t="s">
        <v>10</v>
      </c>
    </row>
    <row r="2" spans="1:10" x14ac:dyDescent="0.15">
      <c r="A2" s="7" t="s">
        <v>150</v>
      </c>
      <c r="B2" s="108" t="s">
        <v>70</v>
      </c>
      <c r="C2" t="s">
        <v>146</v>
      </c>
      <c r="D2" s="126">
        <v>1</v>
      </c>
      <c r="E2" s="126">
        <v>1</v>
      </c>
      <c r="F2" s="126">
        <v>1</v>
      </c>
      <c r="G2" s="126">
        <v>1</v>
      </c>
      <c r="H2" s="126">
        <v>1</v>
      </c>
    </row>
    <row r="3" spans="1:10" x14ac:dyDescent="0.15">
      <c r="B3" s="108"/>
      <c r="C3" t="s">
        <v>147</v>
      </c>
      <c r="D3" s="126">
        <v>1</v>
      </c>
      <c r="E3" s="126">
        <v>1</v>
      </c>
      <c r="F3" s="126">
        <v>1</v>
      </c>
      <c r="G3" s="126">
        <v>1</v>
      </c>
      <c r="H3" s="126">
        <v>1</v>
      </c>
      <c r="J3" s="36"/>
    </row>
    <row r="4" spans="1:10" x14ac:dyDescent="0.15">
      <c r="B4" s="108"/>
      <c r="C4" t="s">
        <v>157</v>
      </c>
      <c r="D4" s="126">
        <v>1</v>
      </c>
      <c r="E4" s="126">
        <v>1</v>
      </c>
      <c r="F4" s="126">
        <v>1</v>
      </c>
      <c r="G4" s="126">
        <v>1</v>
      </c>
      <c r="H4" s="126">
        <v>1</v>
      </c>
      <c r="J4" s="36"/>
    </row>
    <row r="5" spans="1:10" x14ac:dyDescent="0.15">
      <c r="B5" s="108" t="s">
        <v>6</v>
      </c>
      <c r="C5" t="s">
        <v>146</v>
      </c>
      <c r="D5" s="126">
        <v>5.16</v>
      </c>
      <c r="E5" s="126">
        <v>1</v>
      </c>
      <c r="F5" s="126">
        <v>1</v>
      </c>
      <c r="G5" s="126">
        <v>1</v>
      </c>
      <c r="H5" s="126">
        <v>1</v>
      </c>
    </row>
    <row r="6" spans="1:10" x14ac:dyDescent="0.15">
      <c r="B6" s="108"/>
      <c r="C6" t="s">
        <v>147</v>
      </c>
      <c r="D6" s="126">
        <v>5.16</v>
      </c>
      <c r="E6" s="126">
        <v>1</v>
      </c>
      <c r="F6" s="126">
        <v>1</v>
      </c>
      <c r="G6" s="126">
        <v>1</v>
      </c>
      <c r="H6" s="126">
        <v>1</v>
      </c>
    </row>
    <row r="7" spans="1:10" x14ac:dyDescent="0.15">
      <c r="B7" s="108"/>
      <c r="C7" t="s">
        <v>157</v>
      </c>
      <c r="D7" s="126">
        <v>1</v>
      </c>
      <c r="E7" s="126">
        <v>1</v>
      </c>
      <c r="F7" s="126">
        <v>1</v>
      </c>
      <c r="G7" s="126">
        <v>1</v>
      </c>
      <c r="H7" s="126">
        <v>1</v>
      </c>
    </row>
    <row r="8" spans="1:10" x14ac:dyDescent="0.15">
      <c r="B8" s="108" t="s">
        <v>7</v>
      </c>
      <c r="C8" t="s">
        <v>146</v>
      </c>
      <c r="D8" s="126">
        <v>1</v>
      </c>
      <c r="E8" s="126">
        <v>5.16</v>
      </c>
      <c r="F8" s="126">
        <v>1</v>
      </c>
      <c r="G8" s="126">
        <v>1</v>
      </c>
      <c r="H8" s="126">
        <v>1</v>
      </c>
    </row>
    <row r="9" spans="1:10" x14ac:dyDescent="0.15">
      <c r="B9" s="108"/>
      <c r="C9" t="s">
        <v>147</v>
      </c>
      <c r="D9" s="126">
        <v>1</v>
      </c>
      <c r="E9" s="126">
        <v>5.16</v>
      </c>
      <c r="F9" s="126">
        <v>1</v>
      </c>
      <c r="G9" s="126">
        <v>1</v>
      </c>
      <c r="H9" s="126">
        <v>1</v>
      </c>
    </row>
    <row r="10" spans="1:10" x14ac:dyDescent="0.15">
      <c r="B10" s="108"/>
      <c r="C10" t="s">
        <v>157</v>
      </c>
      <c r="D10" s="126">
        <v>1</v>
      </c>
      <c r="E10" s="126">
        <v>1</v>
      </c>
      <c r="F10" s="126">
        <v>1</v>
      </c>
      <c r="G10" s="126">
        <v>1</v>
      </c>
      <c r="H10" s="126">
        <v>1</v>
      </c>
    </row>
    <row r="11" spans="1:10" x14ac:dyDescent="0.15">
      <c r="B11" s="108" t="s">
        <v>8</v>
      </c>
      <c r="C11" t="s">
        <v>146</v>
      </c>
      <c r="D11" s="126">
        <v>1</v>
      </c>
      <c r="E11" s="126">
        <v>1</v>
      </c>
      <c r="F11" s="126">
        <v>1.82</v>
      </c>
      <c r="G11" s="126">
        <v>1</v>
      </c>
      <c r="H11" s="126">
        <v>1</v>
      </c>
    </row>
    <row r="12" spans="1:10" x14ac:dyDescent="0.15">
      <c r="B12" s="108"/>
      <c r="C12" t="s">
        <v>147</v>
      </c>
      <c r="D12" s="126">
        <v>1</v>
      </c>
      <c r="E12" s="126">
        <v>1</v>
      </c>
      <c r="F12" s="126">
        <v>1.82</v>
      </c>
      <c r="G12" s="126">
        <v>1</v>
      </c>
      <c r="H12" s="126">
        <v>1</v>
      </c>
    </row>
    <row r="13" spans="1:10" x14ac:dyDescent="0.15">
      <c r="B13" s="108"/>
      <c r="C13" t="s">
        <v>157</v>
      </c>
      <c r="D13" s="126">
        <v>1</v>
      </c>
      <c r="E13" s="126">
        <v>1</v>
      </c>
      <c r="F13" s="126">
        <v>1</v>
      </c>
      <c r="G13" s="126">
        <v>1</v>
      </c>
      <c r="H13" s="126">
        <v>1</v>
      </c>
    </row>
    <row r="14" spans="1:10" x14ac:dyDescent="0.15">
      <c r="B14" s="108" t="s">
        <v>9</v>
      </c>
      <c r="C14" t="s">
        <v>146</v>
      </c>
      <c r="D14" s="126">
        <v>1</v>
      </c>
      <c r="E14" s="126">
        <v>1</v>
      </c>
      <c r="F14" s="126">
        <v>1</v>
      </c>
      <c r="G14" s="126">
        <v>1.82</v>
      </c>
      <c r="H14" s="126">
        <v>1</v>
      </c>
    </row>
    <row r="15" spans="1:10" x14ac:dyDescent="0.15">
      <c r="B15" s="108"/>
      <c r="C15" t="s">
        <v>147</v>
      </c>
      <c r="D15" s="126">
        <v>1</v>
      </c>
      <c r="E15" s="126">
        <v>1</v>
      </c>
      <c r="F15" s="126">
        <v>1</v>
      </c>
      <c r="G15" s="126">
        <v>1.82</v>
      </c>
      <c r="H15" s="126">
        <v>1</v>
      </c>
    </row>
    <row r="16" spans="1:10" x14ac:dyDescent="0.15">
      <c r="B16" s="108"/>
      <c r="C16" t="s">
        <v>157</v>
      </c>
      <c r="D16" s="126">
        <v>1</v>
      </c>
      <c r="E16" s="126">
        <v>1</v>
      </c>
      <c r="F16" s="126">
        <v>1</v>
      </c>
      <c r="G16" s="126">
        <v>1</v>
      </c>
      <c r="H16" s="126">
        <v>1</v>
      </c>
    </row>
    <row r="17" spans="1:8" x14ac:dyDescent="0.15">
      <c r="B17" s="44" t="s">
        <v>92</v>
      </c>
      <c r="C17" t="s">
        <v>157</v>
      </c>
      <c r="D17" s="40">
        <v>1.05</v>
      </c>
      <c r="E17" s="40">
        <v>1.05</v>
      </c>
      <c r="F17" s="40">
        <v>1.05</v>
      </c>
      <c r="G17" s="40">
        <v>1.05</v>
      </c>
      <c r="H17" s="40">
        <v>1</v>
      </c>
    </row>
    <row r="18" spans="1:8" x14ac:dyDescent="0.15">
      <c r="D18" s="38"/>
      <c r="E18" s="38"/>
      <c r="F18" s="38"/>
      <c r="G18" s="38"/>
      <c r="H18" s="38"/>
    </row>
    <row r="19" spans="1:8" x14ac:dyDescent="0.15">
      <c r="A19" s="111" t="s">
        <v>151</v>
      </c>
      <c r="B19" s="108" t="s">
        <v>70</v>
      </c>
      <c r="C19" t="s">
        <v>146</v>
      </c>
      <c r="D19" s="126">
        <v>1</v>
      </c>
      <c r="E19" s="126">
        <v>1</v>
      </c>
      <c r="F19" s="126">
        <v>1</v>
      </c>
      <c r="G19" s="126">
        <v>1</v>
      </c>
      <c r="H19" s="126">
        <v>1</v>
      </c>
    </row>
    <row r="20" spans="1:8" x14ac:dyDescent="0.15">
      <c r="B20" s="108"/>
      <c r="C20" t="s">
        <v>147</v>
      </c>
      <c r="D20" s="126">
        <v>1</v>
      </c>
      <c r="E20" s="126">
        <v>1</v>
      </c>
      <c r="F20" s="126">
        <v>1</v>
      </c>
      <c r="G20" s="126">
        <v>1</v>
      </c>
      <c r="H20" s="126">
        <v>1</v>
      </c>
    </row>
    <row r="21" spans="1:8" x14ac:dyDescent="0.15">
      <c r="B21" s="108"/>
      <c r="C21" t="s">
        <v>157</v>
      </c>
      <c r="D21" s="126">
        <v>1</v>
      </c>
      <c r="E21" s="126">
        <v>1</v>
      </c>
      <c r="F21" s="126">
        <v>1</v>
      </c>
      <c r="G21" s="126">
        <v>1</v>
      </c>
      <c r="H21" s="126">
        <v>1</v>
      </c>
    </row>
    <row r="22" spans="1:8" x14ac:dyDescent="0.15">
      <c r="B22" s="108" t="s">
        <v>6</v>
      </c>
      <c r="C22" t="s">
        <v>146</v>
      </c>
      <c r="D22" s="126">
        <v>1</v>
      </c>
      <c r="E22" s="126">
        <v>1</v>
      </c>
      <c r="F22" s="126">
        <v>1</v>
      </c>
      <c r="G22" s="126">
        <v>1</v>
      </c>
      <c r="H22" s="126">
        <v>1</v>
      </c>
    </row>
    <row r="23" spans="1:8" x14ac:dyDescent="0.15">
      <c r="B23" s="108"/>
      <c r="C23" t="s">
        <v>147</v>
      </c>
      <c r="D23" s="126">
        <v>1</v>
      </c>
      <c r="E23" s="126">
        <v>1</v>
      </c>
      <c r="F23" s="126">
        <v>1</v>
      </c>
      <c r="G23" s="126">
        <v>1</v>
      </c>
      <c r="H23" s="126">
        <v>1</v>
      </c>
    </row>
    <row r="24" spans="1:8" x14ac:dyDescent="0.15">
      <c r="B24" s="108"/>
      <c r="C24" t="s">
        <v>157</v>
      </c>
      <c r="D24" s="126">
        <v>1</v>
      </c>
      <c r="E24" s="126">
        <v>1</v>
      </c>
      <c r="F24" s="126">
        <v>1</v>
      </c>
      <c r="G24" s="126">
        <v>1</v>
      </c>
      <c r="H24" s="126">
        <v>1</v>
      </c>
    </row>
    <row r="25" spans="1:8" x14ac:dyDescent="0.15">
      <c r="B25" s="108" t="s">
        <v>7</v>
      </c>
      <c r="C25" t="s">
        <v>146</v>
      </c>
      <c r="D25" s="126">
        <v>1</v>
      </c>
      <c r="E25" s="126">
        <v>1</v>
      </c>
      <c r="F25" s="126">
        <v>1</v>
      </c>
      <c r="G25" s="126">
        <v>1</v>
      </c>
      <c r="H25" s="126">
        <v>1</v>
      </c>
    </row>
    <row r="26" spans="1:8" x14ac:dyDescent="0.15">
      <c r="B26" s="108"/>
      <c r="C26" t="s">
        <v>147</v>
      </c>
      <c r="D26" s="126">
        <v>1</v>
      </c>
      <c r="E26" s="126">
        <v>1</v>
      </c>
      <c r="F26" s="126">
        <v>1</v>
      </c>
      <c r="G26" s="126">
        <v>1</v>
      </c>
      <c r="H26" s="126">
        <v>1</v>
      </c>
    </row>
    <row r="27" spans="1:8" x14ac:dyDescent="0.15">
      <c r="B27" s="108"/>
      <c r="C27" t="s">
        <v>157</v>
      </c>
      <c r="D27" s="126">
        <v>1</v>
      </c>
      <c r="E27" s="126">
        <v>1</v>
      </c>
      <c r="F27" s="126">
        <v>1</v>
      </c>
      <c r="G27" s="126">
        <v>1</v>
      </c>
      <c r="H27" s="126">
        <v>1</v>
      </c>
    </row>
    <row r="28" spans="1:8" x14ac:dyDescent="0.15">
      <c r="B28" s="108" t="s">
        <v>8</v>
      </c>
      <c r="C28" t="s">
        <v>146</v>
      </c>
      <c r="D28" s="126">
        <v>1</v>
      </c>
      <c r="E28" s="126">
        <v>1</v>
      </c>
      <c r="F28" s="126">
        <v>1.82</v>
      </c>
      <c r="G28" s="126">
        <v>1</v>
      </c>
      <c r="H28" s="126">
        <v>1</v>
      </c>
    </row>
    <row r="29" spans="1:8" x14ac:dyDescent="0.15">
      <c r="B29" s="108"/>
      <c r="C29" t="s">
        <v>147</v>
      </c>
      <c r="D29" s="126">
        <v>1</v>
      </c>
      <c r="E29" s="126">
        <v>1</v>
      </c>
      <c r="F29" s="126">
        <v>1.82</v>
      </c>
      <c r="G29" s="126">
        <v>1</v>
      </c>
      <c r="H29" s="126">
        <v>1</v>
      </c>
    </row>
    <row r="30" spans="1:8" x14ac:dyDescent="0.15">
      <c r="B30" s="108"/>
      <c r="C30" t="s">
        <v>157</v>
      </c>
      <c r="D30" s="126">
        <v>1</v>
      </c>
      <c r="E30" s="126">
        <v>1</v>
      </c>
      <c r="F30" s="126">
        <v>1</v>
      </c>
      <c r="G30" s="126">
        <v>1</v>
      </c>
      <c r="H30" s="126">
        <v>1</v>
      </c>
    </row>
    <row r="31" spans="1:8" x14ac:dyDescent="0.15">
      <c r="B31" s="108" t="s">
        <v>9</v>
      </c>
      <c r="C31" t="s">
        <v>146</v>
      </c>
      <c r="D31" s="126">
        <v>1</v>
      </c>
      <c r="E31" s="126">
        <v>1</v>
      </c>
      <c r="F31" s="126">
        <v>1</v>
      </c>
      <c r="G31" s="126">
        <v>1.82</v>
      </c>
      <c r="H31" s="126">
        <v>1</v>
      </c>
    </row>
    <row r="32" spans="1:8" x14ac:dyDescent="0.15">
      <c r="B32" s="108"/>
      <c r="C32" t="s">
        <v>147</v>
      </c>
      <c r="D32" s="126">
        <v>1</v>
      </c>
      <c r="E32" s="126">
        <v>1</v>
      </c>
      <c r="F32" s="126">
        <v>1</v>
      </c>
      <c r="G32" s="126">
        <v>1.82</v>
      </c>
      <c r="H32" s="126">
        <v>1</v>
      </c>
    </row>
    <row r="33" spans="1:8" x14ac:dyDescent="0.15">
      <c r="B33" s="108"/>
      <c r="C33" t="s">
        <v>157</v>
      </c>
      <c r="D33" s="126">
        <v>1</v>
      </c>
      <c r="E33" s="126">
        <v>1</v>
      </c>
      <c r="F33" s="126">
        <v>1</v>
      </c>
      <c r="G33" s="126">
        <v>1</v>
      </c>
      <c r="H33" s="126">
        <v>1</v>
      </c>
    </row>
    <row r="34" spans="1:8" x14ac:dyDescent="0.15">
      <c r="B34" s="39" t="s">
        <v>92</v>
      </c>
      <c r="C34" t="s">
        <v>157</v>
      </c>
      <c r="D34" s="40">
        <v>1.05</v>
      </c>
      <c r="E34" s="40">
        <v>1.05</v>
      </c>
      <c r="F34" s="40">
        <v>1.05</v>
      </c>
      <c r="G34" s="40">
        <v>1.05</v>
      </c>
      <c r="H34" s="40">
        <v>1</v>
      </c>
    </row>
    <row r="36" spans="1:8" x14ac:dyDescent="0.15">
      <c r="A36" s="7" t="s">
        <v>180</v>
      </c>
      <c r="B36" s="108" t="s">
        <v>70</v>
      </c>
      <c r="C36" t="s">
        <v>146</v>
      </c>
      <c r="D36" s="126">
        <v>1</v>
      </c>
      <c r="E36" s="126">
        <v>1</v>
      </c>
      <c r="F36" s="126">
        <v>1</v>
      </c>
      <c r="G36" s="126">
        <v>1</v>
      </c>
      <c r="H36" s="126">
        <v>1</v>
      </c>
    </row>
    <row r="37" spans="1:8" x14ac:dyDescent="0.15">
      <c r="B37" s="108"/>
      <c r="C37" t="s">
        <v>147</v>
      </c>
      <c r="D37" s="126">
        <v>1</v>
      </c>
      <c r="E37" s="126">
        <v>1</v>
      </c>
      <c r="F37" s="126">
        <v>1</v>
      </c>
      <c r="G37" s="126">
        <v>1</v>
      </c>
      <c r="H37" s="126">
        <v>1</v>
      </c>
    </row>
    <row r="38" spans="1:8" x14ac:dyDescent="0.15">
      <c r="B38" s="108"/>
      <c r="C38" t="s">
        <v>157</v>
      </c>
      <c r="D38" s="126">
        <v>1</v>
      </c>
      <c r="E38" s="126">
        <v>1</v>
      </c>
      <c r="F38" s="126">
        <v>1</v>
      </c>
      <c r="G38" s="126">
        <v>1</v>
      </c>
      <c r="H38" s="126">
        <v>1</v>
      </c>
    </row>
    <row r="39" spans="1:8" x14ac:dyDescent="0.15">
      <c r="B39" s="108" t="s">
        <v>6</v>
      </c>
      <c r="C39" t="s">
        <v>146</v>
      </c>
      <c r="D39" s="126">
        <v>1</v>
      </c>
      <c r="E39" s="126">
        <v>1</v>
      </c>
      <c r="F39" s="126">
        <v>1</v>
      </c>
      <c r="G39" s="126">
        <v>1</v>
      </c>
      <c r="H39" s="126">
        <v>1</v>
      </c>
    </row>
    <row r="40" spans="1:8" x14ac:dyDescent="0.15">
      <c r="B40" s="108"/>
      <c r="C40" t="s">
        <v>147</v>
      </c>
      <c r="D40" s="126">
        <v>1</v>
      </c>
      <c r="E40" s="126">
        <v>1</v>
      </c>
      <c r="F40" s="126">
        <v>1</v>
      </c>
      <c r="G40" s="126">
        <v>1</v>
      </c>
      <c r="H40" s="126">
        <v>1</v>
      </c>
    </row>
    <row r="41" spans="1:8" x14ac:dyDescent="0.15">
      <c r="B41" s="108"/>
      <c r="C41" t="s">
        <v>157</v>
      </c>
      <c r="D41" s="126">
        <v>1</v>
      </c>
      <c r="E41" s="126">
        <v>1</v>
      </c>
      <c r="F41" s="126">
        <v>1</v>
      </c>
      <c r="G41" s="126">
        <v>1</v>
      </c>
      <c r="H41" s="126">
        <v>1</v>
      </c>
    </row>
    <row r="42" spans="1:8" x14ac:dyDescent="0.15">
      <c r="B42" s="108" t="s">
        <v>7</v>
      </c>
      <c r="C42" t="s">
        <v>146</v>
      </c>
      <c r="D42" s="126">
        <v>1</v>
      </c>
      <c r="E42" s="126">
        <v>1</v>
      </c>
      <c r="F42" s="126">
        <v>1</v>
      </c>
      <c r="G42" s="126">
        <v>1</v>
      </c>
      <c r="H42" s="126">
        <v>1</v>
      </c>
    </row>
    <row r="43" spans="1:8" x14ac:dyDescent="0.15">
      <c r="B43" s="108"/>
      <c r="C43" t="s">
        <v>147</v>
      </c>
      <c r="D43" s="126">
        <v>1</v>
      </c>
      <c r="E43" s="126">
        <v>1</v>
      </c>
      <c r="F43" s="126">
        <v>1</v>
      </c>
      <c r="G43" s="126">
        <v>1</v>
      </c>
      <c r="H43" s="126">
        <v>1</v>
      </c>
    </row>
    <row r="44" spans="1:8" x14ac:dyDescent="0.15">
      <c r="B44" s="108"/>
      <c r="C44" t="s">
        <v>157</v>
      </c>
      <c r="D44" s="126">
        <v>1</v>
      </c>
      <c r="E44" s="126">
        <v>1</v>
      </c>
      <c r="F44" s="126">
        <v>1</v>
      </c>
      <c r="G44" s="126">
        <v>1</v>
      </c>
      <c r="H44" s="126">
        <v>1</v>
      </c>
    </row>
    <row r="45" spans="1:8" x14ac:dyDescent="0.15">
      <c r="B45" s="108" t="s">
        <v>8</v>
      </c>
      <c r="C45" t="s">
        <v>146</v>
      </c>
      <c r="D45" s="126">
        <v>1</v>
      </c>
      <c r="E45" s="126">
        <v>1</v>
      </c>
      <c r="F45" s="126">
        <f>'Odds ratios'!E13</f>
        <v>0.77</v>
      </c>
      <c r="G45" s="126">
        <v>1</v>
      </c>
      <c r="H45" s="126">
        <v>1</v>
      </c>
    </row>
    <row r="46" spans="1:8" x14ac:dyDescent="0.15">
      <c r="B46" s="108"/>
      <c r="C46" t="s">
        <v>147</v>
      </c>
      <c r="D46" s="126">
        <v>1</v>
      </c>
      <c r="E46" s="126">
        <v>1</v>
      </c>
      <c r="F46" s="126">
        <f>'Odds ratios'!E13</f>
        <v>0.77</v>
      </c>
      <c r="G46" s="126">
        <v>1</v>
      </c>
      <c r="H46" s="126">
        <v>1</v>
      </c>
    </row>
    <row r="47" spans="1:8" x14ac:dyDescent="0.15">
      <c r="B47" s="108"/>
      <c r="C47" t="s">
        <v>157</v>
      </c>
      <c r="D47" s="126">
        <v>1</v>
      </c>
      <c r="E47" s="126">
        <v>1</v>
      </c>
      <c r="F47" s="126">
        <v>1</v>
      </c>
      <c r="G47" s="126">
        <v>1</v>
      </c>
      <c r="H47" s="126">
        <v>1</v>
      </c>
    </row>
    <row r="48" spans="1:8" x14ac:dyDescent="0.15">
      <c r="B48" s="108" t="s">
        <v>9</v>
      </c>
      <c r="C48" t="s">
        <v>146</v>
      </c>
      <c r="D48" s="126">
        <v>1</v>
      </c>
      <c r="E48" s="126">
        <v>1</v>
      </c>
      <c r="F48" s="126">
        <v>1</v>
      </c>
      <c r="G48" s="126">
        <f>'Odds ratios'!F13</f>
        <v>0.77</v>
      </c>
      <c r="H48" s="126">
        <v>1</v>
      </c>
    </row>
    <row r="49" spans="2:8" x14ac:dyDescent="0.15">
      <c r="B49" s="108"/>
      <c r="C49" t="s">
        <v>147</v>
      </c>
      <c r="D49" s="126">
        <v>1</v>
      </c>
      <c r="E49" s="126">
        <v>1</v>
      </c>
      <c r="F49" s="126">
        <v>1</v>
      </c>
      <c r="G49" s="126">
        <f>'Odds ratios'!F13</f>
        <v>0.77</v>
      </c>
      <c r="H49" s="126">
        <v>1</v>
      </c>
    </row>
    <row r="50" spans="2:8" x14ac:dyDescent="0.15">
      <c r="B50" s="108"/>
      <c r="C50" t="s">
        <v>157</v>
      </c>
      <c r="D50" s="126">
        <v>1</v>
      </c>
      <c r="E50" s="126">
        <v>1</v>
      </c>
      <c r="F50" s="126">
        <v>1</v>
      </c>
      <c r="G50" s="126">
        <v>1</v>
      </c>
      <c r="H50" s="126">
        <v>1</v>
      </c>
    </row>
    <row r="51" spans="2:8" x14ac:dyDescent="0.15">
      <c r="B51" s="45" t="s">
        <v>92</v>
      </c>
      <c r="C51" t="s">
        <v>157</v>
      </c>
      <c r="D51" s="49">
        <v>1</v>
      </c>
      <c r="E51" s="49">
        <v>1</v>
      </c>
      <c r="F51" s="49">
        <v>0.95</v>
      </c>
      <c r="G51" s="49">
        <v>0.95</v>
      </c>
      <c r="H51" s="49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K15"/>
  <sheetViews>
    <sheetView workbookViewId="0">
      <selection activeCell="E49" sqref="E49"/>
    </sheetView>
    <sheetView workbookViewId="1"/>
  </sheetViews>
  <sheetFormatPr baseColWidth="10" defaultColWidth="14.5" defaultRowHeight="15.75" customHeight="1" x14ac:dyDescent="0.15"/>
  <cols>
    <col min="1" max="1" width="12.5" customWidth="1"/>
    <col min="2" max="2" width="16.5" customWidth="1"/>
    <col min="9" max="9" width="16.1640625" customWidth="1"/>
    <col min="10" max="10" width="17.5" customWidth="1"/>
  </cols>
  <sheetData>
    <row r="1" spans="1:11" ht="15.75" customHeight="1" x14ac:dyDescent="0.15">
      <c r="A1" s="2" t="s">
        <v>0</v>
      </c>
      <c r="B1" s="2" t="s">
        <v>2</v>
      </c>
      <c r="C1" s="7" t="s">
        <v>104</v>
      </c>
      <c r="D1" s="7" t="s">
        <v>105</v>
      </c>
      <c r="E1" s="7" t="s">
        <v>106</v>
      </c>
      <c r="F1" s="7" t="s">
        <v>107</v>
      </c>
      <c r="G1" s="7" t="s">
        <v>58</v>
      </c>
      <c r="H1" s="7" t="s">
        <v>50</v>
      </c>
      <c r="I1" s="7" t="s">
        <v>65</v>
      </c>
      <c r="J1" s="7" t="s">
        <v>77</v>
      </c>
      <c r="K1" s="7"/>
    </row>
    <row r="2" spans="1:11" ht="15.75" customHeight="1" x14ac:dyDescent="0.15">
      <c r="A2" s="3">
        <v>2017</v>
      </c>
      <c r="B2" s="17">
        <v>3095470</v>
      </c>
      <c r="C2" s="18">
        <v>8785700</v>
      </c>
      <c r="D2" s="18">
        <v>13889200</v>
      </c>
      <c r="E2" s="18">
        <v>12671800</v>
      </c>
      <c r="F2" s="18">
        <v>9362400</v>
      </c>
      <c r="G2" s="105">
        <f>C2+D2+E2+F2</f>
        <v>44709100</v>
      </c>
      <c r="H2" s="106">
        <f t="shared" ref="H2:H15" si="0">(B2 + 25.36*B2/(1000-25.36))/(1-0.13)</f>
        <v>3650590.4685349194</v>
      </c>
      <c r="I2" s="107">
        <f t="shared" ref="I2:I15" si="1">C2/G2</f>
        <v>0.19650809343064388</v>
      </c>
      <c r="J2" s="105">
        <f>G2-H2</f>
        <v>41058509.531465083</v>
      </c>
      <c r="K2" s="30"/>
    </row>
    <row r="3" spans="1:11" ht="15.75" customHeight="1" x14ac:dyDescent="0.15">
      <c r="A3" s="3">
        <v>2018</v>
      </c>
      <c r="B3" s="17">
        <v>3071259</v>
      </c>
      <c r="C3" s="18">
        <v>8937400.0000000019</v>
      </c>
      <c r="D3" s="18">
        <v>14228400.000000002</v>
      </c>
      <c r="E3" s="18">
        <v>12949600</v>
      </c>
      <c r="F3" s="18">
        <v>9576800</v>
      </c>
      <c r="G3" s="105">
        <f t="shared" ref="G3:G15" si="2">C3+D3+E3+F3</f>
        <v>45692200</v>
      </c>
      <c r="H3" s="106">
        <f t="shared" si="0"/>
        <v>3622037.632993402</v>
      </c>
      <c r="I3" s="107">
        <f t="shared" si="1"/>
        <v>0.19560012431005733</v>
      </c>
      <c r="J3" s="105">
        <f t="shared" ref="J3:J15" si="3">G3-H3</f>
        <v>42070162.3670066</v>
      </c>
      <c r="K3" s="30"/>
    </row>
    <row r="4" spans="1:11" ht="15.75" customHeight="1" x14ac:dyDescent="0.15">
      <c r="A4" s="3">
        <v>2019</v>
      </c>
      <c r="B4" s="17">
        <v>3045241</v>
      </c>
      <c r="C4" s="18">
        <v>9089100.0000000019</v>
      </c>
      <c r="D4" s="18">
        <v>14567600.000000002</v>
      </c>
      <c r="E4" s="18">
        <v>13227400</v>
      </c>
      <c r="F4" s="18">
        <v>9791200.0000000019</v>
      </c>
      <c r="G4" s="105">
        <f t="shared" si="2"/>
        <v>46675300</v>
      </c>
      <c r="H4" s="106">
        <f t="shared" si="0"/>
        <v>3591353.7424015561</v>
      </c>
      <c r="I4" s="107">
        <f t="shared" si="1"/>
        <v>0.19473040344679096</v>
      </c>
      <c r="J4" s="105">
        <f t="shared" si="3"/>
        <v>43083946.257598445</v>
      </c>
      <c r="K4" s="30"/>
    </row>
    <row r="5" spans="1:11" ht="15.75" customHeight="1" x14ac:dyDescent="0.15">
      <c r="A5" s="3">
        <v>2020</v>
      </c>
      <c r="B5" s="17">
        <v>3017266</v>
      </c>
      <c r="C5" s="18">
        <v>9240800.0000000037</v>
      </c>
      <c r="D5" s="18">
        <v>14906800.000000004</v>
      </c>
      <c r="E5" s="18">
        <v>13505200</v>
      </c>
      <c r="F5" s="18">
        <v>10005600.000000004</v>
      </c>
      <c r="G5" s="105">
        <f t="shared" si="2"/>
        <v>47658400.000000015</v>
      </c>
      <c r="H5" s="106">
        <f t="shared" si="0"/>
        <v>3558361.8967828737</v>
      </c>
      <c r="I5" s="107">
        <f t="shared" si="1"/>
        <v>0.19389656387960991</v>
      </c>
      <c r="J5" s="105">
        <f t="shared" si="3"/>
        <v>44100038.10321714</v>
      </c>
      <c r="K5" s="30"/>
    </row>
    <row r="6" spans="1:11" ht="15.75" customHeight="1" x14ac:dyDescent="0.15">
      <c r="A6" s="3">
        <v>2021</v>
      </c>
      <c r="B6" s="17">
        <v>2990677</v>
      </c>
      <c r="C6" s="18">
        <v>9392500.0000000037</v>
      </c>
      <c r="D6" s="18">
        <v>15246000.000000004</v>
      </c>
      <c r="E6" s="18">
        <v>13783000</v>
      </c>
      <c r="F6" s="18">
        <v>10220000.000000004</v>
      </c>
      <c r="G6" s="105">
        <f t="shared" si="2"/>
        <v>48641500.000000015</v>
      </c>
      <c r="H6" s="106">
        <f t="shared" si="0"/>
        <v>3527004.6069471212</v>
      </c>
      <c r="I6" s="107">
        <f t="shared" si="1"/>
        <v>0.1930964300031866</v>
      </c>
      <c r="J6" s="105">
        <f t="shared" si="3"/>
        <v>45114495.393052891</v>
      </c>
      <c r="K6" s="30"/>
    </row>
    <row r="7" spans="1:11" ht="15.75" customHeight="1" x14ac:dyDescent="0.15">
      <c r="A7" s="3">
        <v>2022</v>
      </c>
      <c r="B7" s="17">
        <v>2962144</v>
      </c>
      <c r="C7" s="18">
        <v>9004300.0000000037</v>
      </c>
      <c r="D7" s="18">
        <v>15785700.000000004</v>
      </c>
      <c r="E7" s="18">
        <v>13711700</v>
      </c>
      <c r="F7" s="18">
        <v>10609600.000000004</v>
      </c>
      <c r="G7" s="105">
        <f t="shared" si="2"/>
        <v>49111300.000000015</v>
      </c>
      <c r="H7" s="106">
        <f t="shared" si="0"/>
        <v>3493354.6934158299</v>
      </c>
      <c r="I7" s="107">
        <f t="shared" si="1"/>
        <v>0.1833447699409301</v>
      </c>
      <c r="J7" s="105">
        <f t="shared" si="3"/>
        <v>45617945.306584187</v>
      </c>
      <c r="K7" s="30"/>
    </row>
    <row r="8" spans="1:11" ht="15.75" customHeight="1" x14ac:dyDescent="0.15">
      <c r="A8" s="3">
        <v>2023</v>
      </c>
      <c r="B8" s="17">
        <v>2931643</v>
      </c>
      <c r="C8" s="18">
        <v>8616100.0000000019</v>
      </c>
      <c r="D8" s="18">
        <v>16325400.000000004</v>
      </c>
      <c r="E8" s="18">
        <v>13640400</v>
      </c>
      <c r="F8" s="18">
        <v>10999200.000000002</v>
      </c>
      <c r="G8" s="105">
        <f t="shared" si="2"/>
        <v>49581100.000000007</v>
      </c>
      <c r="H8" s="106">
        <f t="shared" si="0"/>
        <v>3457383.8521927581</v>
      </c>
      <c r="I8" s="107">
        <f t="shared" si="1"/>
        <v>0.17377791134121673</v>
      </c>
      <c r="J8" s="105">
        <f t="shared" si="3"/>
        <v>46123716.147807248</v>
      </c>
      <c r="K8" s="30"/>
    </row>
    <row r="9" spans="1:11" ht="15.75" customHeight="1" x14ac:dyDescent="0.15">
      <c r="A9" s="3">
        <v>2024</v>
      </c>
      <c r="B9" s="17">
        <v>2899255</v>
      </c>
      <c r="C9" s="18">
        <v>8227900.0000000019</v>
      </c>
      <c r="D9" s="18">
        <v>16865100.000000004</v>
      </c>
      <c r="E9" s="18">
        <v>13569100</v>
      </c>
      <c r="F9" s="18">
        <v>11388800</v>
      </c>
      <c r="G9" s="105">
        <f t="shared" si="2"/>
        <v>50050900.000000007</v>
      </c>
      <c r="H9" s="106">
        <f t="shared" si="0"/>
        <v>3419187.609265219</v>
      </c>
      <c r="I9" s="107">
        <f t="shared" si="1"/>
        <v>0.16439065031797631</v>
      </c>
      <c r="J9" s="105">
        <f t="shared" si="3"/>
        <v>46631712.390734792</v>
      </c>
      <c r="K9" s="30"/>
    </row>
    <row r="10" spans="1:11" ht="15.75" customHeight="1" x14ac:dyDescent="0.15">
      <c r="A10" s="3">
        <v>2025</v>
      </c>
      <c r="B10" s="17">
        <v>2865008</v>
      </c>
      <c r="C10" s="18">
        <v>7839700.0000000019</v>
      </c>
      <c r="D10" s="18">
        <v>17404800.000000004</v>
      </c>
      <c r="E10" s="18">
        <v>13497800</v>
      </c>
      <c r="F10" s="18">
        <v>11778400</v>
      </c>
      <c r="G10" s="105">
        <f t="shared" si="2"/>
        <v>50520700.000000007</v>
      </c>
      <c r="H10" s="106">
        <f t="shared" si="0"/>
        <v>3378798.9859621613</v>
      </c>
      <c r="I10" s="107">
        <f t="shared" si="1"/>
        <v>0.15517797655218554</v>
      </c>
      <c r="J10" s="105">
        <f t="shared" si="3"/>
        <v>47141901.014037848</v>
      </c>
      <c r="K10" s="30"/>
    </row>
    <row r="11" spans="1:11" ht="15.75" customHeight="1" x14ac:dyDescent="0.15">
      <c r="A11" s="3">
        <v>2026</v>
      </c>
      <c r="B11" s="17">
        <v>2836142</v>
      </c>
      <c r="C11" s="18">
        <v>7451500.0000000019</v>
      </c>
      <c r="D11" s="18">
        <v>17944500</v>
      </c>
      <c r="E11" s="18">
        <v>13426500</v>
      </c>
      <c r="F11" s="18">
        <v>12168000</v>
      </c>
      <c r="G11" s="105">
        <f t="shared" si="2"/>
        <v>50990500</v>
      </c>
      <c r="H11" s="106">
        <f t="shared" si="0"/>
        <v>3344756.3544830228</v>
      </c>
      <c r="I11" s="107">
        <f t="shared" si="1"/>
        <v>0.1461350643747365</v>
      </c>
      <c r="J11" s="105">
        <f t="shared" si="3"/>
        <v>47645743.645516977</v>
      </c>
      <c r="K11" s="30"/>
    </row>
    <row r="12" spans="1:11" ht="15.75" customHeight="1" x14ac:dyDescent="0.15">
      <c r="A12" s="3">
        <v>2027</v>
      </c>
      <c r="B12" s="17">
        <v>2805541</v>
      </c>
      <c r="C12" s="18">
        <v>7411700.0000000019</v>
      </c>
      <c r="D12" s="18">
        <v>17710400</v>
      </c>
      <c r="E12" s="18">
        <v>13766300</v>
      </c>
      <c r="F12" s="18">
        <v>12445000</v>
      </c>
      <c r="G12" s="105">
        <f t="shared" si="2"/>
        <v>51333400</v>
      </c>
      <c r="H12" s="106">
        <f t="shared" si="0"/>
        <v>3308667.5799422786</v>
      </c>
      <c r="I12" s="107">
        <f t="shared" si="1"/>
        <v>0.14438357872262508</v>
      </c>
      <c r="J12" s="105">
        <f t="shared" si="3"/>
        <v>48024732.420057721</v>
      </c>
      <c r="K12" s="30"/>
    </row>
    <row r="13" spans="1:11" ht="15.75" customHeight="1" x14ac:dyDescent="0.15">
      <c r="A13" s="3">
        <v>2028</v>
      </c>
      <c r="B13" s="17">
        <v>2773236</v>
      </c>
      <c r="C13" s="18">
        <v>7371900.0000000019</v>
      </c>
      <c r="D13" s="18">
        <v>17476300</v>
      </c>
      <c r="E13" s="18">
        <v>14106100</v>
      </c>
      <c r="F13" s="18">
        <v>12722000</v>
      </c>
      <c r="G13" s="105">
        <f t="shared" si="2"/>
        <v>51676300</v>
      </c>
      <c r="H13" s="106">
        <f t="shared" si="0"/>
        <v>3270569.2216684073</v>
      </c>
      <c r="I13" s="107">
        <f t="shared" si="1"/>
        <v>0.14265533716616713</v>
      </c>
      <c r="J13" s="105">
        <f t="shared" si="3"/>
        <v>48405730.778331593</v>
      </c>
      <c r="K13" s="30"/>
    </row>
    <row r="14" spans="1:11" ht="15.75" customHeight="1" x14ac:dyDescent="0.15">
      <c r="A14" s="3">
        <v>2029</v>
      </c>
      <c r="B14" s="17">
        <v>2739273</v>
      </c>
      <c r="C14" s="18">
        <v>7332100.0000000009</v>
      </c>
      <c r="D14" s="18">
        <v>17242200</v>
      </c>
      <c r="E14" s="18">
        <v>14445900</v>
      </c>
      <c r="F14" s="18">
        <v>12999000</v>
      </c>
      <c r="G14" s="105">
        <f t="shared" si="2"/>
        <v>52019200</v>
      </c>
      <c r="H14" s="106">
        <f t="shared" si="0"/>
        <v>3230515.5289875376</v>
      </c>
      <c r="I14" s="107">
        <f t="shared" si="1"/>
        <v>0.14094988004429135</v>
      </c>
      <c r="J14" s="105">
        <f t="shared" si="3"/>
        <v>48788684.471012466</v>
      </c>
      <c r="K14" s="30"/>
    </row>
    <row r="15" spans="1:11" ht="15.75" customHeight="1" x14ac:dyDescent="0.15">
      <c r="A15" s="3">
        <v>2030</v>
      </c>
      <c r="B15" s="17">
        <v>2703670</v>
      </c>
      <c r="C15" s="18">
        <v>7292300.0000000009</v>
      </c>
      <c r="D15" s="18">
        <v>17008100</v>
      </c>
      <c r="E15" s="18">
        <v>14785700</v>
      </c>
      <c r="F15" s="18">
        <v>13276000</v>
      </c>
      <c r="G15" s="105">
        <f t="shared" si="2"/>
        <v>52362100</v>
      </c>
      <c r="H15" s="106">
        <f t="shared" si="0"/>
        <v>3188527.7298968509</v>
      </c>
      <c r="I15" s="107">
        <f t="shared" si="1"/>
        <v>0.139266759736527</v>
      </c>
      <c r="J15" s="105">
        <f t="shared" si="3"/>
        <v>49173572.270103149</v>
      </c>
      <c r="K15" s="3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0.39997558519241921"/>
  </sheetPr>
  <dimension ref="A1:P100"/>
  <sheetViews>
    <sheetView topLeftCell="A6" workbookViewId="0">
      <selection activeCell="L52" sqref="L52"/>
    </sheetView>
    <sheetView workbookViewId="1"/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7" t="s">
        <v>54</v>
      </c>
      <c r="B1" s="1" t="s">
        <v>5</v>
      </c>
      <c r="C1" s="1" t="s">
        <v>12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  <c r="I1" s="7" t="s">
        <v>108</v>
      </c>
      <c r="J1" s="7" t="s">
        <v>109</v>
      </c>
      <c r="K1" s="7" t="s">
        <v>110</v>
      </c>
      <c r="L1" s="7" t="s">
        <v>111</v>
      </c>
      <c r="M1" s="7" t="s">
        <v>104</v>
      </c>
      <c r="N1" s="7" t="s">
        <v>105</v>
      </c>
      <c r="O1" s="7" t="s">
        <v>106</v>
      </c>
      <c r="P1" s="7" t="s">
        <v>107</v>
      </c>
    </row>
    <row r="2" spans="1:16" x14ac:dyDescent="0.15">
      <c r="A2" s="7" t="s">
        <v>13</v>
      </c>
      <c r="B2" t="s">
        <v>206</v>
      </c>
      <c r="C2" s="4" t="s">
        <v>14</v>
      </c>
      <c r="D2" s="113">
        <v>1</v>
      </c>
      <c r="E2" s="113">
        <v>1</v>
      </c>
      <c r="F2" s="113">
        <v>1</v>
      </c>
      <c r="G2" s="113">
        <v>1</v>
      </c>
      <c r="H2" s="113">
        <v>1</v>
      </c>
      <c r="I2" s="113">
        <v>1</v>
      </c>
      <c r="J2" s="113">
        <v>1</v>
      </c>
      <c r="K2" s="113">
        <v>1</v>
      </c>
      <c r="L2" s="113">
        <v>1</v>
      </c>
      <c r="M2" s="113">
        <v>1</v>
      </c>
      <c r="N2" s="113">
        <v>1</v>
      </c>
      <c r="O2" s="113">
        <v>1</v>
      </c>
      <c r="P2" s="113">
        <v>1</v>
      </c>
    </row>
    <row r="3" spans="1:16" x14ac:dyDescent="0.15">
      <c r="C3" s="4" t="s">
        <v>23</v>
      </c>
      <c r="D3" s="113">
        <v>1</v>
      </c>
      <c r="E3" s="113">
        <v>1.67</v>
      </c>
      <c r="F3" s="113">
        <v>1.67</v>
      </c>
      <c r="G3" s="113">
        <v>1.67</v>
      </c>
      <c r="H3" s="113">
        <v>1.67</v>
      </c>
      <c r="I3" s="113">
        <v>1</v>
      </c>
      <c r="J3" s="113">
        <v>1</v>
      </c>
      <c r="K3" s="113">
        <v>1</v>
      </c>
      <c r="L3" s="113">
        <v>1</v>
      </c>
      <c r="M3" s="113">
        <v>1</v>
      </c>
      <c r="N3" s="113">
        <v>1</v>
      </c>
      <c r="O3" s="113">
        <v>1</v>
      </c>
      <c r="P3" s="113">
        <v>1</v>
      </c>
    </row>
    <row r="4" spans="1:16" x14ac:dyDescent="0.15">
      <c r="C4" s="4" t="s">
        <v>25</v>
      </c>
      <c r="D4" s="113">
        <v>1</v>
      </c>
      <c r="E4" s="113">
        <v>2.38</v>
      </c>
      <c r="F4" s="113">
        <v>2.38</v>
      </c>
      <c r="G4" s="113">
        <v>2.38</v>
      </c>
      <c r="H4" s="113">
        <v>2.38</v>
      </c>
      <c r="I4" s="113">
        <v>1</v>
      </c>
      <c r="J4" s="113">
        <v>1</v>
      </c>
      <c r="K4" s="113">
        <v>1</v>
      </c>
      <c r="L4" s="113">
        <v>1</v>
      </c>
      <c r="M4" s="113">
        <v>1</v>
      </c>
      <c r="N4" s="113">
        <v>1</v>
      </c>
      <c r="O4" s="113">
        <v>1</v>
      </c>
      <c r="P4" s="113">
        <v>1</v>
      </c>
    </row>
    <row r="5" spans="1:16" x14ac:dyDescent="0.15">
      <c r="C5" s="4" t="s">
        <v>26</v>
      </c>
      <c r="D5" s="113">
        <v>1</v>
      </c>
      <c r="E5" s="113">
        <v>6.33</v>
      </c>
      <c r="F5" s="113">
        <v>6.33</v>
      </c>
      <c r="G5" s="113">
        <v>6.33</v>
      </c>
      <c r="H5" s="113">
        <v>6.33</v>
      </c>
      <c r="I5" s="113">
        <v>1</v>
      </c>
      <c r="J5" s="113">
        <v>1</v>
      </c>
      <c r="K5" s="113">
        <v>1</v>
      </c>
      <c r="L5" s="113">
        <v>1</v>
      </c>
      <c r="M5" s="113">
        <v>1</v>
      </c>
      <c r="N5" s="113">
        <v>1</v>
      </c>
      <c r="O5" s="113">
        <v>1</v>
      </c>
      <c r="P5" s="113">
        <v>1</v>
      </c>
    </row>
    <row r="6" spans="1:16" x14ac:dyDescent="0.15">
      <c r="B6" t="s">
        <v>28</v>
      </c>
      <c r="C6" s="4" t="s">
        <v>14</v>
      </c>
      <c r="D6" s="113">
        <v>1</v>
      </c>
      <c r="E6" s="113">
        <v>1</v>
      </c>
      <c r="F6" s="113">
        <v>1</v>
      </c>
      <c r="G6" s="113">
        <v>1</v>
      </c>
      <c r="H6" s="113">
        <v>1</v>
      </c>
      <c r="I6" s="113">
        <v>1</v>
      </c>
      <c r="J6" s="113">
        <v>1</v>
      </c>
      <c r="K6" s="113">
        <v>1</v>
      </c>
      <c r="L6" s="113">
        <v>1</v>
      </c>
      <c r="M6" s="113">
        <v>1</v>
      </c>
      <c r="N6" s="113">
        <v>1</v>
      </c>
      <c r="O6" s="113">
        <v>1</v>
      </c>
      <c r="P6" s="113">
        <v>1</v>
      </c>
    </row>
    <row r="7" spans="1:16" x14ac:dyDescent="0.15">
      <c r="C7" s="4" t="s">
        <v>23</v>
      </c>
      <c r="D7" s="113">
        <v>1</v>
      </c>
      <c r="E7" s="113">
        <v>1.55</v>
      </c>
      <c r="F7" s="113">
        <v>1.55</v>
      </c>
      <c r="G7" s="113">
        <v>1.55</v>
      </c>
      <c r="H7" s="113">
        <v>1.55</v>
      </c>
      <c r="I7" s="113">
        <v>1</v>
      </c>
      <c r="J7" s="113">
        <v>1</v>
      </c>
      <c r="K7" s="113">
        <v>1</v>
      </c>
      <c r="L7" s="113">
        <v>1</v>
      </c>
      <c r="M7" s="113">
        <v>1</v>
      </c>
      <c r="N7" s="113">
        <v>1</v>
      </c>
      <c r="O7" s="113">
        <v>1</v>
      </c>
      <c r="P7" s="113">
        <v>1</v>
      </c>
    </row>
    <row r="8" spans="1:16" x14ac:dyDescent="0.15">
      <c r="C8" s="4" t="s">
        <v>25</v>
      </c>
      <c r="D8" s="113">
        <v>1</v>
      </c>
      <c r="E8" s="113">
        <v>2.1800000000000002</v>
      </c>
      <c r="F8" s="113">
        <v>2.1800000000000002</v>
      </c>
      <c r="G8" s="113">
        <v>2.1800000000000002</v>
      </c>
      <c r="H8" s="113">
        <v>2.1800000000000002</v>
      </c>
      <c r="I8" s="113">
        <v>1</v>
      </c>
      <c r="J8" s="113">
        <v>1</v>
      </c>
      <c r="K8" s="113">
        <v>1</v>
      </c>
      <c r="L8" s="113">
        <v>1</v>
      </c>
      <c r="M8" s="113">
        <v>1</v>
      </c>
      <c r="N8" s="113">
        <v>1</v>
      </c>
      <c r="O8" s="113">
        <v>1</v>
      </c>
      <c r="P8" s="113">
        <v>1</v>
      </c>
    </row>
    <row r="9" spans="1:16" x14ac:dyDescent="0.15">
      <c r="C9" s="4" t="s">
        <v>26</v>
      </c>
      <c r="D9" s="113">
        <v>1</v>
      </c>
      <c r="E9" s="113">
        <v>6.39</v>
      </c>
      <c r="F9" s="113">
        <v>6.39</v>
      </c>
      <c r="G9" s="113">
        <v>6.39</v>
      </c>
      <c r="H9" s="113">
        <v>6.39</v>
      </c>
      <c r="I9" s="113">
        <v>1</v>
      </c>
      <c r="J9" s="113">
        <v>1</v>
      </c>
      <c r="K9" s="113">
        <v>1</v>
      </c>
      <c r="L9" s="113">
        <v>1</v>
      </c>
      <c r="M9" s="113">
        <v>1</v>
      </c>
      <c r="N9" s="113">
        <v>1</v>
      </c>
      <c r="O9" s="113">
        <v>1</v>
      </c>
      <c r="P9" s="113">
        <v>1</v>
      </c>
    </row>
    <row r="10" spans="1:16" x14ac:dyDescent="0.15">
      <c r="B10" t="s">
        <v>30</v>
      </c>
      <c r="C10" s="4" t="s">
        <v>14</v>
      </c>
      <c r="D10" s="113">
        <v>1</v>
      </c>
      <c r="E10" s="113">
        <v>1</v>
      </c>
      <c r="F10" s="113">
        <v>1</v>
      </c>
      <c r="G10" s="113">
        <v>1</v>
      </c>
      <c r="H10" s="113">
        <v>1</v>
      </c>
      <c r="I10" s="113">
        <v>1</v>
      </c>
      <c r="J10" s="113">
        <v>1</v>
      </c>
      <c r="K10" s="113">
        <v>1</v>
      </c>
      <c r="L10" s="113">
        <v>1</v>
      </c>
      <c r="M10" s="113">
        <v>1</v>
      </c>
      <c r="N10" s="113">
        <v>1</v>
      </c>
      <c r="O10" s="113">
        <v>1</v>
      </c>
      <c r="P10" s="113">
        <v>1</v>
      </c>
    </row>
    <row r="11" spans="1:16" x14ac:dyDescent="0.15">
      <c r="C11" s="4" t="s">
        <v>23</v>
      </c>
      <c r="D11" s="113">
        <v>1</v>
      </c>
      <c r="E11" s="113">
        <v>1</v>
      </c>
      <c r="F11" s="113">
        <v>1</v>
      </c>
      <c r="G11" s="113">
        <v>1</v>
      </c>
      <c r="H11" s="113">
        <v>1</v>
      </c>
      <c r="I11" s="113">
        <v>1</v>
      </c>
      <c r="J11" s="113">
        <v>1</v>
      </c>
      <c r="K11" s="113">
        <v>1</v>
      </c>
      <c r="L11" s="113">
        <v>1</v>
      </c>
      <c r="M11" s="113">
        <v>1</v>
      </c>
      <c r="N11" s="113">
        <v>1</v>
      </c>
      <c r="O11" s="113">
        <v>1</v>
      </c>
      <c r="P11" s="113">
        <v>1</v>
      </c>
    </row>
    <row r="12" spans="1:16" x14ac:dyDescent="0.15">
      <c r="C12" s="4" t="s">
        <v>25</v>
      </c>
      <c r="D12" s="113">
        <v>1</v>
      </c>
      <c r="E12" s="113">
        <v>2.79</v>
      </c>
      <c r="F12" s="113">
        <v>2.79</v>
      </c>
      <c r="G12" s="113">
        <v>2.79</v>
      </c>
      <c r="H12" s="113">
        <v>2.79</v>
      </c>
      <c r="I12" s="113">
        <v>1</v>
      </c>
      <c r="J12" s="113">
        <v>1</v>
      </c>
      <c r="K12" s="113">
        <v>1</v>
      </c>
      <c r="L12" s="113">
        <v>1</v>
      </c>
      <c r="M12" s="113">
        <v>1</v>
      </c>
      <c r="N12" s="113">
        <v>1</v>
      </c>
      <c r="O12" s="113">
        <v>1</v>
      </c>
      <c r="P12" s="113">
        <v>1</v>
      </c>
    </row>
    <row r="13" spans="1:16" x14ac:dyDescent="0.15">
      <c r="C13" s="4" t="s">
        <v>26</v>
      </c>
      <c r="D13" s="113">
        <v>1</v>
      </c>
      <c r="E13" s="113">
        <v>6.01</v>
      </c>
      <c r="F13" s="113">
        <v>6.01</v>
      </c>
      <c r="G13" s="113">
        <v>6.01</v>
      </c>
      <c r="H13" s="113">
        <v>6.01</v>
      </c>
      <c r="I13" s="113">
        <v>1</v>
      </c>
      <c r="J13" s="113">
        <v>1</v>
      </c>
      <c r="K13" s="113">
        <v>1</v>
      </c>
      <c r="L13" s="113">
        <v>1</v>
      </c>
      <c r="M13" s="113">
        <v>1</v>
      </c>
      <c r="N13" s="113">
        <v>1</v>
      </c>
      <c r="O13" s="113">
        <v>1</v>
      </c>
      <c r="P13" s="113">
        <v>1</v>
      </c>
    </row>
    <row r="14" spans="1:16" x14ac:dyDescent="0.15">
      <c r="B14" t="s">
        <v>31</v>
      </c>
      <c r="C14" s="4" t="s">
        <v>14</v>
      </c>
      <c r="D14" s="113">
        <v>1</v>
      </c>
      <c r="E14" s="113">
        <v>1</v>
      </c>
      <c r="F14" s="113">
        <v>1</v>
      </c>
      <c r="G14" s="113">
        <v>1</v>
      </c>
      <c r="H14" s="113">
        <v>1</v>
      </c>
      <c r="I14" s="113">
        <v>1</v>
      </c>
      <c r="J14" s="113">
        <v>1</v>
      </c>
      <c r="K14" s="113">
        <v>1</v>
      </c>
      <c r="L14" s="113">
        <v>1</v>
      </c>
      <c r="M14" s="113">
        <v>1</v>
      </c>
      <c r="N14" s="113">
        <v>1</v>
      </c>
      <c r="O14" s="113">
        <v>1</v>
      </c>
      <c r="P14" s="113">
        <v>1</v>
      </c>
    </row>
    <row r="15" spans="1:16" x14ac:dyDescent="0.15">
      <c r="C15" s="4" t="s">
        <v>23</v>
      </c>
      <c r="D15" s="113">
        <v>1</v>
      </c>
      <c r="E15" s="113">
        <v>1</v>
      </c>
      <c r="F15" s="113">
        <v>1</v>
      </c>
      <c r="G15" s="113">
        <v>1</v>
      </c>
      <c r="H15" s="113">
        <v>1</v>
      </c>
      <c r="I15" s="113">
        <v>1</v>
      </c>
      <c r="J15" s="113">
        <v>1</v>
      </c>
      <c r="K15" s="113">
        <v>1</v>
      </c>
      <c r="L15" s="113">
        <v>1</v>
      </c>
      <c r="M15" s="113">
        <v>1</v>
      </c>
      <c r="N15" s="113">
        <v>1</v>
      </c>
      <c r="O15" s="113">
        <v>1</v>
      </c>
      <c r="P15" s="113">
        <v>1</v>
      </c>
    </row>
    <row r="16" spans="1:16" x14ac:dyDescent="0.15">
      <c r="C16" s="4" t="s">
        <v>25</v>
      </c>
      <c r="D16" s="113">
        <v>1</v>
      </c>
      <c r="E16" s="113">
        <v>1</v>
      </c>
      <c r="F16" s="113">
        <v>1</v>
      </c>
      <c r="G16" s="113">
        <v>1</v>
      </c>
      <c r="H16" s="113">
        <v>1</v>
      </c>
      <c r="I16" s="113">
        <v>1</v>
      </c>
      <c r="J16" s="113">
        <v>1</v>
      </c>
      <c r="K16" s="113">
        <v>1</v>
      </c>
      <c r="L16" s="113">
        <v>1</v>
      </c>
      <c r="M16" s="113">
        <v>1</v>
      </c>
      <c r="N16" s="113">
        <v>1</v>
      </c>
      <c r="O16" s="113">
        <v>1</v>
      </c>
      <c r="P16" s="113">
        <v>1</v>
      </c>
    </row>
    <row r="17" spans="1:16" x14ac:dyDescent="0.15">
      <c r="C17" s="4" t="s">
        <v>26</v>
      </c>
      <c r="D17" s="113">
        <v>1</v>
      </c>
      <c r="E17" s="113">
        <v>1</v>
      </c>
      <c r="F17" s="113">
        <v>1</v>
      </c>
      <c r="G17" s="113">
        <v>1</v>
      </c>
      <c r="H17" s="113">
        <v>1</v>
      </c>
      <c r="I17" s="113">
        <v>1</v>
      </c>
      <c r="J17" s="113">
        <v>1</v>
      </c>
      <c r="K17" s="113">
        <v>1</v>
      </c>
      <c r="L17" s="113">
        <v>1</v>
      </c>
      <c r="M17" s="113">
        <v>1</v>
      </c>
      <c r="N17" s="113">
        <v>1</v>
      </c>
      <c r="O17" s="113">
        <v>1</v>
      </c>
      <c r="P17" s="113">
        <v>1</v>
      </c>
    </row>
    <row r="18" spans="1:16" x14ac:dyDescent="0.15">
      <c r="B18" t="s">
        <v>35</v>
      </c>
      <c r="C18" s="4" t="s">
        <v>14</v>
      </c>
      <c r="D18" s="113">
        <v>1</v>
      </c>
      <c r="E18" s="113">
        <v>1</v>
      </c>
      <c r="F18" s="113">
        <v>1</v>
      </c>
      <c r="G18" s="113">
        <v>1</v>
      </c>
      <c r="H18" s="113">
        <v>1</v>
      </c>
      <c r="I18" s="113">
        <v>1</v>
      </c>
      <c r="J18" s="113">
        <v>1</v>
      </c>
      <c r="K18" s="113">
        <v>1</v>
      </c>
      <c r="L18" s="113">
        <v>1</v>
      </c>
      <c r="M18" s="113">
        <v>1</v>
      </c>
      <c r="N18" s="113">
        <v>1</v>
      </c>
      <c r="O18" s="113">
        <v>1</v>
      </c>
      <c r="P18" s="113">
        <v>1</v>
      </c>
    </row>
    <row r="19" spans="1:16" x14ac:dyDescent="0.15">
      <c r="C19" s="4" t="s">
        <v>23</v>
      </c>
      <c r="D19" s="113">
        <v>1</v>
      </c>
      <c r="E19" s="113">
        <v>1</v>
      </c>
      <c r="F19" s="113">
        <v>1</v>
      </c>
      <c r="G19" s="113">
        <v>1</v>
      </c>
      <c r="H19" s="113">
        <v>1</v>
      </c>
      <c r="I19" s="113">
        <v>1</v>
      </c>
      <c r="J19" s="113">
        <v>1</v>
      </c>
      <c r="K19" s="113">
        <v>1</v>
      </c>
      <c r="L19" s="113">
        <v>1</v>
      </c>
      <c r="M19" s="113">
        <v>1</v>
      </c>
      <c r="N19" s="113">
        <v>1</v>
      </c>
      <c r="O19" s="113">
        <v>1</v>
      </c>
      <c r="P19" s="113">
        <v>1</v>
      </c>
    </row>
    <row r="20" spans="1:16" x14ac:dyDescent="0.15">
      <c r="C20" s="4" t="s">
        <v>25</v>
      </c>
      <c r="D20" s="113">
        <v>1</v>
      </c>
      <c r="E20" s="113">
        <v>1.86</v>
      </c>
      <c r="F20" s="113">
        <v>1.86</v>
      </c>
      <c r="G20" s="113">
        <v>1.86</v>
      </c>
      <c r="H20" s="113">
        <v>1.86</v>
      </c>
      <c r="I20" s="113">
        <v>1</v>
      </c>
      <c r="J20" s="113">
        <v>1</v>
      </c>
      <c r="K20" s="113">
        <v>1</v>
      </c>
      <c r="L20" s="113">
        <v>1</v>
      </c>
      <c r="M20" s="113">
        <v>1</v>
      </c>
      <c r="N20" s="113">
        <v>1</v>
      </c>
      <c r="O20" s="113">
        <v>1</v>
      </c>
      <c r="P20" s="113">
        <v>1</v>
      </c>
    </row>
    <row r="21" spans="1:16" x14ac:dyDescent="0.15">
      <c r="C21" s="4" t="s">
        <v>26</v>
      </c>
      <c r="D21" s="113">
        <v>1</v>
      </c>
      <c r="E21" s="113">
        <v>3.01</v>
      </c>
      <c r="F21" s="113">
        <v>3.01</v>
      </c>
      <c r="G21" s="113">
        <v>3.01</v>
      </c>
      <c r="H21" s="113">
        <v>3.01</v>
      </c>
      <c r="I21" s="113">
        <v>1</v>
      </c>
      <c r="J21" s="113">
        <v>1</v>
      </c>
      <c r="K21" s="113">
        <v>1</v>
      </c>
      <c r="L21" s="113">
        <v>1</v>
      </c>
      <c r="M21" s="113">
        <v>1</v>
      </c>
      <c r="N21" s="113">
        <v>1</v>
      </c>
      <c r="O21" s="113">
        <v>1</v>
      </c>
      <c r="P21" s="113">
        <v>1</v>
      </c>
    </row>
    <row r="22" spans="1:16" x14ac:dyDescent="0.15"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 x14ac:dyDescent="0.15"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 x14ac:dyDescent="0.15">
      <c r="A24" s="7" t="s">
        <v>27</v>
      </c>
      <c r="B24" t="s">
        <v>206</v>
      </c>
      <c r="C24" s="4" t="s">
        <v>14</v>
      </c>
      <c r="D24" s="113">
        <v>1</v>
      </c>
      <c r="E24" s="113">
        <v>1</v>
      </c>
      <c r="F24" s="113">
        <v>1</v>
      </c>
      <c r="G24" s="113">
        <v>1</v>
      </c>
      <c r="H24" s="113">
        <v>1</v>
      </c>
      <c r="I24" s="113">
        <v>1</v>
      </c>
      <c r="J24" s="113">
        <v>1</v>
      </c>
      <c r="K24" s="113">
        <v>1</v>
      </c>
      <c r="L24" s="113">
        <v>1</v>
      </c>
      <c r="M24" s="113">
        <v>1</v>
      </c>
      <c r="N24" s="113">
        <v>1</v>
      </c>
      <c r="O24" s="113">
        <v>1</v>
      </c>
      <c r="P24" s="113">
        <v>1</v>
      </c>
    </row>
    <row r="25" spans="1:16" x14ac:dyDescent="0.15">
      <c r="C25" s="4" t="s">
        <v>23</v>
      </c>
      <c r="D25" s="113">
        <v>1</v>
      </c>
      <c r="E25" s="113">
        <v>1.6</v>
      </c>
      <c r="F25" s="113">
        <v>1.6</v>
      </c>
      <c r="G25" s="113">
        <v>1.6</v>
      </c>
      <c r="H25" s="113">
        <v>1.6</v>
      </c>
      <c r="I25" s="113">
        <v>1</v>
      </c>
      <c r="J25" s="113">
        <v>1</v>
      </c>
      <c r="K25" s="113">
        <v>1</v>
      </c>
      <c r="L25" s="113">
        <v>1</v>
      </c>
      <c r="M25" s="113">
        <v>1</v>
      </c>
      <c r="N25" s="113">
        <v>1</v>
      </c>
      <c r="O25" s="113">
        <v>1</v>
      </c>
      <c r="P25" s="113">
        <v>1</v>
      </c>
    </row>
    <row r="26" spans="1:16" x14ac:dyDescent="0.15">
      <c r="C26" s="4" t="s">
        <v>140</v>
      </c>
      <c r="D26" s="113">
        <v>1</v>
      </c>
      <c r="E26" s="113">
        <v>3.41</v>
      </c>
      <c r="F26" s="113">
        <v>3.41</v>
      </c>
      <c r="G26" s="113">
        <v>3.41</v>
      </c>
      <c r="H26" s="113">
        <v>3.41</v>
      </c>
      <c r="I26" s="113">
        <v>1</v>
      </c>
      <c r="J26" s="113">
        <v>1</v>
      </c>
      <c r="K26" s="113">
        <v>1</v>
      </c>
      <c r="L26" s="113">
        <v>1</v>
      </c>
      <c r="M26" s="113">
        <v>1</v>
      </c>
      <c r="N26" s="113">
        <v>1</v>
      </c>
      <c r="O26" s="113">
        <v>1</v>
      </c>
      <c r="P26" s="113">
        <v>1</v>
      </c>
    </row>
    <row r="27" spans="1:16" x14ac:dyDescent="0.15">
      <c r="C27" s="4" t="s">
        <v>141</v>
      </c>
      <c r="D27" s="113">
        <v>1</v>
      </c>
      <c r="E27" s="113">
        <v>12.33</v>
      </c>
      <c r="F27" s="113">
        <v>12.33</v>
      </c>
      <c r="G27" s="113">
        <v>12.33</v>
      </c>
      <c r="H27" s="113">
        <v>12.33</v>
      </c>
      <c r="I27" s="113">
        <v>1</v>
      </c>
      <c r="J27" s="113">
        <v>1</v>
      </c>
      <c r="K27" s="113">
        <v>1</v>
      </c>
      <c r="L27" s="113">
        <v>1</v>
      </c>
      <c r="M27" s="113">
        <v>1</v>
      </c>
      <c r="N27" s="113">
        <v>1</v>
      </c>
      <c r="O27" s="113">
        <v>1</v>
      </c>
      <c r="P27" s="113">
        <v>1</v>
      </c>
    </row>
    <row r="28" spans="1:16" x14ac:dyDescent="0.15">
      <c r="B28" t="s">
        <v>28</v>
      </c>
      <c r="C28" s="4" t="s">
        <v>14</v>
      </c>
      <c r="D28" s="113">
        <v>1</v>
      </c>
      <c r="E28" s="113">
        <v>1</v>
      </c>
      <c r="F28" s="113">
        <v>1</v>
      </c>
      <c r="G28" s="113">
        <v>1</v>
      </c>
      <c r="H28" s="113">
        <v>1</v>
      </c>
      <c r="I28" s="113">
        <v>1</v>
      </c>
      <c r="J28" s="113">
        <v>1</v>
      </c>
      <c r="K28" s="113">
        <v>1</v>
      </c>
      <c r="L28" s="113">
        <v>1</v>
      </c>
      <c r="M28" s="113">
        <v>1</v>
      </c>
      <c r="N28" s="113">
        <v>1</v>
      </c>
      <c r="O28" s="113">
        <v>1</v>
      </c>
      <c r="P28" s="113">
        <v>1</v>
      </c>
    </row>
    <row r="29" spans="1:16" x14ac:dyDescent="0.15">
      <c r="C29" s="4" t="s">
        <v>23</v>
      </c>
      <c r="D29" s="113">
        <v>1</v>
      </c>
      <c r="E29" s="113">
        <v>1.92</v>
      </c>
      <c r="F29" s="113">
        <v>1.92</v>
      </c>
      <c r="G29" s="113">
        <v>1.92</v>
      </c>
      <c r="H29" s="113">
        <v>1.92</v>
      </c>
      <c r="I29" s="113">
        <v>1</v>
      </c>
      <c r="J29" s="113">
        <v>1</v>
      </c>
      <c r="K29" s="113">
        <v>1</v>
      </c>
      <c r="L29" s="113">
        <v>1</v>
      </c>
      <c r="M29" s="113">
        <v>1</v>
      </c>
      <c r="N29" s="113">
        <v>1</v>
      </c>
      <c r="O29" s="113">
        <v>1</v>
      </c>
      <c r="P29" s="113">
        <v>1</v>
      </c>
    </row>
    <row r="30" spans="1:16" x14ac:dyDescent="0.15">
      <c r="C30" s="4" t="s">
        <v>140</v>
      </c>
      <c r="D30" s="113">
        <v>1</v>
      </c>
      <c r="E30" s="113">
        <v>4.66</v>
      </c>
      <c r="F30" s="113">
        <v>4.66</v>
      </c>
      <c r="G30" s="113">
        <v>4.66</v>
      </c>
      <c r="H30" s="113">
        <v>4.66</v>
      </c>
      <c r="I30" s="113">
        <v>1</v>
      </c>
      <c r="J30" s="113">
        <v>1</v>
      </c>
      <c r="K30" s="113">
        <v>1</v>
      </c>
      <c r="L30" s="113">
        <v>1</v>
      </c>
      <c r="M30" s="113">
        <v>1</v>
      </c>
      <c r="N30" s="113">
        <v>1</v>
      </c>
      <c r="O30" s="113">
        <v>1</v>
      </c>
      <c r="P30" s="113">
        <v>1</v>
      </c>
    </row>
    <row r="31" spans="1:16" x14ac:dyDescent="0.15">
      <c r="C31" s="4" t="s">
        <v>141</v>
      </c>
      <c r="D31" s="113">
        <v>1</v>
      </c>
      <c r="E31" s="113">
        <v>9.68</v>
      </c>
      <c r="F31" s="113">
        <v>9.68</v>
      </c>
      <c r="G31" s="113">
        <v>9.68</v>
      </c>
      <c r="H31" s="113">
        <v>9.68</v>
      </c>
      <c r="I31" s="113">
        <v>1</v>
      </c>
      <c r="J31" s="113">
        <v>1</v>
      </c>
      <c r="K31" s="113">
        <v>1</v>
      </c>
      <c r="L31" s="113">
        <v>1</v>
      </c>
      <c r="M31" s="113">
        <v>1</v>
      </c>
      <c r="N31" s="113">
        <v>1</v>
      </c>
      <c r="O31" s="113">
        <v>1</v>
      </c>
      <c r="P31" s="113">
        <v>1</v>
      </c>
    </row>
    <row r="32" spans="1:16" x14ac:dyDescent="0.15">
      <c r="B32" t="s">
        <v>30</v>
      </c>
      <c r="C32" s="4" t="s">
        <v>14</v>
      </c>
      <c r="D32" s="113">
        <v>1</v>
      </c>
      <c r="E32" s="113">
        <v>1</v>
      </c>
      <c r="F32" s="113">
        <v>1</v>
      </c>
      <c r="G32" s="113">
        <v>1</v>
      </c>
      <c r="H32" s="113">
        <v>1</v>
      </c>
      <c r="I32" s="113">
        <v>1</v>
      </c>
      <c r="J32" s="113">
        <v>1</v>
      </c>
      <c r="K32" s="113">
        <v>1</v>
      </c>
      <c r="L32" s="113">
        <v>1</v>
      </c>
      <c r="M32" s="113">
        <v>1</v>
      </c>
      <c r="N32" s="113">
        <v>1</v>
      </c>
      <c r="O32" s="113">
        <v>1</v>
      </c>
      <c r="P32" s="113">
        <v>1</v>
      </c>
    </row>
    <row r="33" spans="1:16" x14ac:dyDescent="0.15">
      <c r="C33" s="4" t="s">
        <v>23</v>
      </c>
      <c r="D33" s="113">
        <v>1</v>
      </c>
      <c r="E33" s="113">
        <v>1</v>
      </c>
      <c r="F33" s="113">
        <v>1</v>
      </c>
      <c r="G33" s="113">
        <v>1</v>
      </c>
      <c r="H33" s="113">
        <v>1</v>
      </c>
      <c r="I33" s="113">
        <v>1</v>
      </c>
      <c r="J33" s="113">
        <v>1</v>
      </c>
      <c r="K33" s="113">
        <v>1</v>
      </c>
      <c r="L33" s="113">
        <v>1</v>
      </c>
      <c r="M33" s="113">
        <v>1</v>
      </c>
      <c r="N33" s="113">
        <v>1</v>
      </c>
      <c r="O33" s="113">
        <v>1</v>
      </c>
      <c r="P33" s="113">
        <v>1</v>
      </c>
    </row>
    <row r="34" spans="1:16" x14ac:dyDescent="0.15">
      <c r="C34" s="4" t="s">
        <v>140</v>
      </c>
      <c r="D34" s="113">
        <v>1</v>
      </c>
      <c r="E34" s="113">
        <v>2.58</v>
      </c>
      <c r="F34" s="113">
        <v>2.58</v>
      </c>
      <c r="G34" s="113">
        <v>2.58</v>
      </c>
      <c r="H34" s="113">
        <v>2.58</v>
      </c>
      <c r="I34" s="113">
        <v>1</v>
      </c>
      <c r="J34" s="113">
        <v>1</v>
      </c>
      <c r="K34" s="113">
        <v>1</v>
      </c>
      <c r="L34" s="113">
        <v>1</v>
      </c>
      <c r="M34" s="113">
        <v>1</v>
      </c>
      <c r="N34" s="113">
        <v>1</v>
      </c>
      <c r="O34" s="113">
        <v>1</v>
      </c>
      <c r="P34" s="113">
        <v>1</v>
      </c>
    </row>
    <row r="35" spans="1:16" x14ac:dyDescent="0.15">
      <c r="C35" s="4" t="s">
        <v>141</v>
      </c>
      <c r="D35" s="113">
        <v>1</v>
      </c>
      <c r="E35" s="113">
        <v>9.6300000000000008</v>
      </c>
      <c r="F35" s="113">
        <v>9.6300000000000008</v>
      </c>
      <c r="G35" s="113">
        <v>9.6300000000000008</v>
      </c>
      <c r="H35" s="113">
        <v>9.6300000000000008</v>
      </c>
      <c r="I35" s="113">
        <v>1</v>
      </c>
      <c r="J35" s="113">
        <v>1</v>
      </c>
      <c r="K35" s="113">
        <v>1</v>
      </c>
      <c r="L35" s="113">
        <v>1</v>
      </c>
      <c r="M35" s="113">
        <v>1</v>
      </c>
      <c r="N35" s="113">
        <v>1</v>
      </c>
      <c r="O35" s="113">
        <v>1</v>
      </c>
      <c r="P35" s="113">
        <v>1</v>
      </c>
    </row>
    <row r="36" spans="1:16" x14ac:dyDescent="0.15">
      <c r="B36" t="s">
        <v>31</v>
      </c>
      <c r="C36" s="4" t="s">
        <v>14</v>
      </c>
      <c r="D36" s="113">
        <v>1</v>
      </c>
      <c r="E36" s="113">
        <v>1</v>
      </c>
      <c r="F36" s="113">
        <v>1</v>
      </c>
      <c r="G36" s="113">
        <v>1</v>
      </c>
      <c r="H36" s="113">
        <v>1</v>
      </c>
      <c r="I36" s="113">
        <v>1</v>
      </c>
      <c r="J36" s="113">
        <v>1</v>
      </c>
      <c r="K36" s="113">
        <v>1</v>
      </c>
      <c r="L36" s="113">
        <v>1</v>
      </c>
      <c r="M36" s="113">
        <v>1</v>
      </c>
      <c r="N36" s="113">
        <v>1</v>
      </c>
      <c r="O36" s="113">
        <v>1</v>
      </c>
      <c r="P36" s="113">
        <v>1</v>
      </c>
    </row>
    <row r="37" spans="1:16" x14ac:dyDescent="0.15">
      <c r="C37" s="4" t="s">
        <v>23</v>
      </c>
      <c r="D37" s="113">
        <v>1</v>
      </c>
      <c r="E37" s="113">
        <v>1</v>
      </c>
      <c r="F37" s="113">
        <v>1</v>
      </c>
      <c r="G37" s="113">
        <v>1</v>
      </c>
      <c r="H37" s="113">
        <v>1</v>
      </c>
      <c r="I37" s="113">
        <v>1</v>
      </c>
      <c r="J37" s="113">
        <v>1</v>
      </c>
      <c r="K37" s="113">
        <v>1</v>
      </c>
      <c r="L37" s="113">
        <v>1</v>
      </c>
      <c r="M37" s="113">
        <v>1</v>
      </c>
      <c r="N37" s="113">
        <v>1</v>
      </c>
      <c r="O37" s="113">
        <v>1</v>
      </c>
      <c r="P37" s="113">
        <v>1</v>
      </c>
    </row>
    <row r="38" spans="1:16" x14ac:dyDescent="0.15">
      <c r="C38" s="4" t="s">
        <v>140</v>
      </c>
      <c r="D38" s="113">
        <v>1</v>
      </c>
      <c r="E38" s="113">
        <v>1</v>
      </c>
      <c r="F38" s="113">
        <v>1</v>
      </c>
      <c r="G38" s="113">
        <v>1</v>
      </c>
      <c r="H38" s="113">
        <v>1</v>
      </c>
      <c r="I38" s="113">
        <v>1</v>
      </c>
      <c r="J38" s="113">
        <v>1</v>
      </c>
      <c r="K38" s="113">
        <v>1</v>
      </c>
      <c r="L38" s="113">
        <v>1</v>
      </c>
      <c r="M38" s="113">
        <v>1</v>
      </c>
      <c r="N38" s="113">
        <v>1</v>
      </c>
      <c r="O38" s="113">
        <v>1</v>
      </c>
      <c r="P38" s="113">
        <v>1</v>
      </c>
    </row>
    <row r="39" spans="1:16" x14ac:dyDescent="0.15">
      <c r="C39" s="4" t="s">
        <v>141</v>
      </c>
      <c r="D39" s="113">
        <v>1</v>
      </c>
      <c r="E39" s="113">
        <v>1</v>
      </c>
      <c r="F39" s="113">
        <v>1</v>
      </c>
      <c r="G39" s="113">
        <v>1</v>
      </c>
      <c r="H39" s="113">
        <v>1</v>
      </c>
      <c r="I39" s="113">
        <v>1</v>
      </c>
      <c r="J39" s="113">
        <v>1</v>
      </c>
      <c r="K39" s="113">
        <v>1</v>
      </c>
      <c r="L39" s="113">
        <v>1</v>
      </c>
      <c r="M39" s="113">
        <v>1</v>
      </c>
      <c r="N39" s="113">
        <v>1</v>
      </c>
      <c r="O39" s="113">
        <v>1</v>
      </c>
      <c r="P39" s="113">
        <v>1</v>
      </c>
    </row>
    <row r="40" spans="1:16" x14ac:dyDescent="0.15">
      <c r="B40" t="s">
        <v>35</v>
      </c>
      <c r="C40" s="4" t="s">
        <v>14</v>
      </c>
      <c r="D40" s="113">
        <v>1</v>
      </c>
      <c r="E40" s="113">
        <v>1</v>
      </c>
      <c r="F40" s="113">
        <v>1</v>
      </c>
      <c r="G40" s="113">
        <v>1</v>
      </c>
      <c r="H40" s="113">
        <v>1</v>
      </c>
      <c r="I40" s="113">
        <v>1</v>
      </c>
      <c r="J40" s="113">
        <v>1</v>
      </c>
      <c r="K40" s="113">
        <v>1</v>
      </c>
      <c r="L40" s="113">
        <v>1</v>
      </c>
      <c r="M40" s="113">
        <v>1</v>
      </c>
      <c r="N40" s="113">
        <v>1</v>
      </c>
      <c r="O40" s="113">
        <v>1</v>
      </c>
      <c r="P40" s="113">
        <v>1</v>
      </c>
    </row>
    <row r="41" spans="1:16" x14ac:dyDescent="0.15">
      <c r="C41" s="4" t="s">
        <v>23</v>
      </c>
      <c r="D41" s="113">
        <v>1</v>
      </c>
      <c r="E41" s="113">
        <v>1.65</v>
      </c>
      <c r="F41" s="113">
        <v>1.65</v>
      </c>
      <c r="G41" s="113">
        <v>1.65</v>
      </c>
      <c r="H41" s="113">
        <v>1.65</v>
      </c>
      <c r="I41" s="113">
        <v>1</v>
      </c>
      <c r="J41" s="113">
        <v>1</v>
      </c>
      <c r="K41" s="113">
        <v>1</v>
      </c>
      <c r="L41" s="113">
        <v>1</v>
      </c>
      <c r="M41" s="113">
        <v>1</v>
      </c>
      <c r="N41" s="113">
        <v>1</v>
      </c>
      <c r="O41" s="113">
        <v>1</v>
      </c>
      <c r="P41" s="113">
        <v>1</v>
      </c>
    </row>
    <row r="42" spans="1:16" x14ac:dyDescent="0.15">
      <c r="C42" s="4" t="s">
        <v>140</v>
      </c>
      <c r="D42" s="113">
        <v>1</v>
      </c>
      <c r="E42" s="113">
        <v>2.73</v>
      </c>
      <c r="F42" s="113">
        <v>2.73</v>
      </c>
      <c r="G42" s="113">
        <v>2.73</v>
      </c>
      <c r="H42" s="113">
        <v>2.73</v>
      </c>
      <c r="I42" s="113">
        <v>1</v>
      </c>
      <c r="J42" s="113">
        <v>1</v>
      </c>
      <c r="K42" s="113">
        <v>1</v>
      </c>
      <c r="L42" s="113">
        <v>1</v>
      </c>
      <c r="M42" s="113">
        <v>1</v>
      </c>
      <c r="N42" s="113">
        <v>1</v>
      </c>
      <c r="O42" s="113">
        <v>1</v>
      </c>
      <c r="P42" s="113">
        <v>1</v>
      </c>
    </row>
    <row r="43" spans="1:16" x14ac:dyDescent="0.15">
      <c r="C43" s="4" t="s">
        <v>141</v>
      </c>
      <c r="D43" s="113">
        <v>1</v>
      </c>
      <c r="E43" s="113">
        <v>11.21</v>
      </c>
      <c r="F43" s="113">
        <v>11.21</v>
      </c>
      <c r="G43" s="113">
        <v>11.21</v>
      </c>
      <c r="H43" s="113">
        <v>11.21</v>
      </c>
      <c r="I43" s="113">
        <v>1</v>
      </c>
      <c r="J43" s="113">
        <v>1</v>
      </c>
      <c r="K43" s="113">
        <v>1</v>
      </c>
      <c r="L43" s="113">
        <v>1</v>
      </c>
      <c r="M43" s="113">
        <v>1</v>
      </c>
      <c r="N43" s="113">
        <v>1</v>
      </c>
      <c r="O43" s="113">
        <v>1</v>
      </c>
      <c r="P43" s="113">
        <v>1</v>
      </c>
    </row>
    <row r="44" spans="1:16" x14ac:dyDescent="0.15">
      <c r="C44" s="4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x14ac:dyDescent="0.15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x14ac:dyDescent="0.15">
      <c r="A46" s="7" t="s">
        <v>197</v>
      </c>
      <c r="B46" t="s">
        <v>206</v>
      </c>
      <c r="C46" s="4" t="s">
        <v>199</v>
      </c>
      <c r="D46" s="113">
        <v>1</v>
      </c>
      <c r="E46" s="113">
        <v>1</v>
      </c>
      <c r="F46" s="113">
        <v>1</v>
      </c>
      <c r="G46" s="113">
        <v>1</v>
      </c>
      <c r="H46" s="113">
        <v>1</v>
      </c>
      <c r="I46" s="113">
        <v>1</v>
      </c>
      <c r="J46" s="113">
        <v>1</v>
      </c>
      <c r="K46" s="113">
        <v>1</v>
      </c>
      <c r="L46" s="113">
        <v>1</v>
      </c>
      <c r="M46" s="113">
        <v>1</v>
      </c>
      <c r="N46" s="113">
        <v>1</v>
      </c>
      <c r="O46" s="113">
        <v>1</v>
      </c>
      <c r="P46" s="113">
        <v>1</v>
      </c>
    </row>
    <row r="47" spans="1:16" x14ac:dyDescent="0.15">
      <c r="C47" s="4" t="s">
        <v>200</v>
      </c>
      <c r="D47" s="113">
        <v>1</v>
      </c>
      <c r="E47" s="113">
        <v>1</v>
      </c>
      <c r="F47" s="113">
        <v>1</v>
      </c>
      <c r="G47" s="113">
        <v>1</v>
      </c>
      <c r="H47" s="113">
        <v>1</v>
      </c>
      <c r="I47" s="113">
        <v>1</v>
      </c>
      <c r="J47" s="113">
        <v>1</v>
      </c>
      <c r="K47" s="113">
        <v>1</v>
      </c>
      <c r="L47" s="113">
        <v>1</v>
      </c>
      <c r="M47" s="113">
        <v>1</v>
      </c>
      <c r="N47" s="113">
        <v>1</v>
      </c>
      <c r="O47" s="113">
        <v>1</v>
      </c>
      <c r="P47" s="113">
        <v>1</v>
      </c>
    </row>
    <row r="48" spans="1:16" x14ac:dyDescent="0.15">
      <c r="B48" t="s">
        <v>28</v>
      </c>
      <c r="C48" s="4" t="s">
        <v>199</v>
      </c>
      <c r="D48" s="113">
        <v>1</v>
      </c>
      <c r="E48" s="113">
        <v>1</v>
      </c>
      <c r="F48" s="113">
        <v>1</v>
      </c>
      <c r="G48" s="113">
        <v>1</v>
      </c>
      <c r="H48" s="113">
        <v>1</v>
      </c>
      <c r="I48" s="113">
        <v>1</v>
      </c>
      <c r="J48" s="113">
        <v>1</v>
      </c>
      <c r="K48" s="113">
        <v>1</v>
      </c>
      <c r="L48" s="113">
        <v>1</v>
      </c>
      <c r="M48" s="113">
        <v>1</v>
      </c>
      <c r="N48" s="113">
        <v>1</v>
      </c>
      <c r="O48" s="113">
        <v>1</v>
      </c>
      <c r="P48" s="113">
        <v>1</v>
      </c>
    </row>
    <row r="49" spans="1:16" x14ac:dyDescent="0.15">
      <c r="C49" s="4" t="s">
        <v>200</v>
      </c>
      <c r="D49" s="113">
        <v>1</v>
      </c>
      <c r="E49" s="113">
        <v>1</v>
      </c>
      <c r="F49" s="113">
        <v>1</v>
      </c>
      <c r="G49" s="113">
        <v>1</v>
      </c>
      <c r="H49" s="113">
        <v>1</v>
      </c>
      <c r="I49" s="113">
        <v>1</v>
      </c>
      <c r="J49" s="113">
        <v>1</v>
      </c>
      <c r="K49" s="113">
        <v>1</v>
      </c>
      <c r="L49" s="113">
        <v>1</v>
      </c>
      <c r="M49" s="113">
        <v>1</v>
      </c>
      <c r="N49" s="113">
        <v>1</v>
      </c>
      <c r="O49" s="113">
        <v>1</v>
      </c>
      <c r="P49" s="113">
        <v>1</v>
      </c>
    </row>
    <row r="50" spans="1:16" x14ac:dyDescent="0.15">
      <c r="B50" t="s">
        <v>30</v>
      </c>
      <c r="C50" s="4" t="s">
        <v>199</v>
      </c>
      <c r="D50" s="113">
        <v>1</v>
      </c>
      <c r="E50" s="113">
        <v>1</v>
      </c>
      <c r="F50" s="113">
        <v>1</v>
      </c>
      <c r="G50" s="113">
        <v>1</v>
      </c>
      <c r="H50" s="113">
        <v>1</v>
      </c>
      <c r="I50" s="113">
        <v>1</v>
      </c>
      <c r="J50" s="113">
        <v>1</v>
      </c>
      <c r="K50" s="113">
        <v>1</v>
      </c>
      <c r="L50" s="113">
        <v>1</v>
      </c>
      <c r="M50" s="113">
        <v>1</v>
      </c>
      <c r="N50" s="113">
        <v>1</v>
      </c>
      <c r="O50" s="113">
        <v>1</v>
      </c>
      <c r="P50" s="113">
        <v>1</v>
      </c>
    </row>
    <row r="51" spans="1:16" x14ac:dyDescent="0.15">
      <c r="C51" s="4" t="s">
        <v>200</v>
      </c>
      <c r="D51" s="113">
        <v>1</v>
      </c>
      <c r="E51" s="113">
        <v>1</v>
      </c>
      <c r="F51" s="113">
        <v>1</v>
      </c>
      <c r="G51" s="113">
        <v>1</v>
      </c>
      <c r="H51" s="113">
        <v>1</v>
      </c>
      <c r="I51" s="113">
        <v>1</v>
      </c>
      <c r="J51" s="113">
        <v>1</v>
      </c>
      <c r="K51" s="113">
        <v>1</v>
      </c>
      <c r="L51" s="113">
        <v>1</v>
      </c>
      <c r="M51" s="113">
        <v>1</v>
      </c>
      <c r="N51" s="113">
        <v>1</v>
      </c>
      <c r="O51" s="113">
        <v>1</v>
      </c>
      <c r="P51" s="113">
        <v>1</v>
      </c>
    </row>
    <row r="52" spans="1:16" x14ac:dyDescent="0.15">
      <c r="B52" t="s">
        <v>31</v>
      </c>
      <c r="C52" s="4" t="s">
        <v>199</v>
      </c>
      <c r="D52" s="113">
        <v>1</v>
      </c>
      <c r="E52" s="113">
        <v>1</v>
      </c>
      <c r="F52" s="113">
        <v>1</v>
      </c>
      <c r="G52" s="113">
        <v>1</v>
      </c>
      <c r="H52" s="113">
        <v>1</v>
      </c>
      <c r="I52" s="113">
        <v>1</v>
      </c>
      <c r="J52" s="113">
        <v>1</v>
      </c>
      <c r="K52" s="113">
        <v>1</v>
      </c>
      <c r="L52" s="113">
        <v>1</v>
      </c>
      <c r="M52" s="113">
        <v>1</v>
      </c>
      <c r="N52" s="113">
        <v>1</v>
      </c>
      <c r="O52" s="113">
        <v>1</v>
      </c>
      <c r="P52" s="113">
        <v>1</v>
      </c>
    </row>
    <row r="53" spans="1:16" x14ac:dyDescent="0.15">
      <c r="C53" s="4" t="s">
        <v>200</v>
      </c>
      <c r="D53" s="113">
        <v>1</v>
      </c>
      <c r="E53" s="113">
        <v>1</v>
      </c>
      <c r="F53" s="113">
        <v>1</v>
      </c>
      <c r="G53" s="113">
        <v>1</v>
      </c>
      <c r="H53" s="113">
        <v>1</v>
      </c>
      <c r="I53" s="113">
        <v>1</v>
      </c>
      <c r="J53" s="113">
        <v>1</v>
      </c>
      <c r="K53" s="113">
        <v>1</v>
      </c>
      <c r="L53" s="113">
        <v>1</v>
      </c>
      <c r="M53" s="113">
        <v>1</v>
      </c>
      <c r="N53" s="113">
        <v>1</v>
      </c>
      <c r="O53" s="113">
        <v>1</v>
      </c>
      <c r="P53" s="113">
        <v>1</v>
      </c>
    </row>
    <row r="54" spans="1:16" x14ac:dyDescent="0.15">
      <c r="B54" t="s">
        <v>35</v>
      </c>
      <c r="C54" s="4" t="s">
        <v>199</v>
      </c>
      <c r="D54" s="113">
        <v>1</v>
      </c>
      <c r="E54" s="113">
        <v>1</v>
      </c>
      <c r="F54" s="113">
        <v>1</v>
      </c>
      <c r="G54" s="113">
        <v>1</v>
      </c>
      <c r="H54" s="113">
        <v>1</v>
      </c>
      <c r="I54" s="113">
        <v>1</v>
      </c>
      <c r="J54" s="113">
        <v>1</v>
      </c>
      <c r="K54" s="113">
        <v>1</v>
      </c>
      <c r="L54" s="113">
        <v>1</v>
      </c>
      <c r="M54" s="113">
        <v>1</v>
      </c>
      <c r="N54" s="113">
        <v>1</v>
      </c>
      <c r="O54" s="113">
        <v>1</v>
      </c>
      <c r="P54" s="113">
        <v>1</v>
      </c>
    </row>
    <row r="55" spans="1:16" x14ac:dyDescent="0.15">
      <c r="C55" s="4" t="s">
        <v>200</v>
      </c>
      <c r="D55" s="113">
        <v>1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  <c r="P55" s="113">
        <v>1</v>
      </c>
    </row>
    <row r="56" spans="1:16" x14ac:dyDescent="0.15">
      <c r="A56" s="7"/>
      <c r="B56" t="s">
        <v>79</v>
      </c>
      <c r="C56" s="4" t="s">
        <v>199</v>
      </c>
      <c r="D56" s="113">
        <v>1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  <c r="P56" s="113">
        <v>1</v>
      </c>
    </row>
    <row r="57" spans="1:16" x14ac:dyDescent="0.15">
      <c r="C57" s="4" t="s">
        <v>200</v>
      </c>
      <c r="D57" s="113">
        <v>1</v>
      </c>
      <c r="E57" s="113">
        <v>1</v>
      </c>
      <c r="F57" s="113">
        <v>1</v>
      </c>
      <c r="G57" s="113">
        <v>1</v>
      </c>
      <c r="H57" s="113">
        <v>1</v>
      </c>
      <c r="I57" s="113">
        <v>10.675000000000001</v>
      </c>
      <c r="J57" s="113">
        <v>10.675000000000001</v>
      </c>
      <c r="K57" s="113">
        <v>10.675000000000001</v>
      </c>
      <c r="L57" s="113">
        <v>10.675000000000001</v>
      </c>
      <c r="M57" s="113">
        <v>1</v>
      </c>
      <c r="N57" s="113">
        <v>1</v>
      </c>
      <c r="O57" s="113">
        <v>1</v>
      </c>
      <c r="P57" s="113">
        <v>1</v>
      </c>
    </row>
    <row r="58" spans="1:16" x14ac:dyDescent="0.15">
      <c r="B58" t="s">
        <v>80</v>
      </c>
      <c r="C58" s="4" t="s">
        <v>199</v>
      </c>
      <c r="D58" s="113">
        <v>1</v>
      </c>
      <c r="E58" s="113">
        <v>1</v>
      </c>
      <c r="F58" s="113">
        <v>1</v>
      </c>
      <c r="G58" s="113">
        <v>1</v>
      </c>
      <c r="H58" s="113">
        <v>1</v>
      </c>
      <c r="I58" s="113">
        <v>1</v>
      </c>
      <c r="J58" s="113">
        <v>1</v>
      </c>
      <c r="K58" s="113">
        <v>1</v>
      </c>
      <c r="L58" s="113">
        <v>1</v>
      </c>
      <c r="M58" s="113">
        <v>1</v>
      </c>
      <c r="N58" s="113">
        <v>1</v>
      </c>
      <c r="O58" s="113">
        <v>1</v>
      </c>
      <c r="P58" s="113">
        <v>1</v>
      </c>
    </row>
    <row r="59" spans="1:16" x14ac:dyDescent="0.15">
      <c r="C59" s="4" t="s">
        <v>200</v>
      </c>
      <c r="D59" s="113">
        <v>1</v>
      </c>
      <c r="E59" s="113">
        <v>1</v>
      </c>
      <c r="F59" s="113">
        <v>1</v>
      </c>
      <c r="G59" s="113">
        <v>1</v>
      </c>
      <c r="H59" s="113">
        <v>1</v>
      </c>
      <c r="I59" s="113">
        <v>10.675000000000001</v>
      </c>
      <c r="J59" s="113">
        <v>10.675000000000001</v>
      </c>
      <c r="K59" s="113">
        <v>10.675000000000001</v>
      </c>
      <c r="L59" s="113">
        <v>10.675000000000001</v>
      </c>
      <c r="M59" s="113">
        <v>1</v>
      </c>
      <c r="N59" s="113">
        <v>1</v>
      </c>
      <c r="O59" s="113">
        <v>1</v>
      </c>
      <c r="P59" s="113">
        <v>1</v>
      </c>
    </row>
    <row r="60" spans="1:16" x14ac:dyDescent="0.15">
      <c r="B60" t="s">
        <v>81</v>
      </c>
      <c r="C60" s="4" t="s">
        <v>199</v>
      </c>
      <c r="D60" s="113">
        <v>1</v>
      </c>
      <c r="E60" s="113">
        <v>1</v>
      </c>
      <c r="F60" s="113">
        <v>1</v>
      </c>
      <c r="G60" s="113">
        <v>1</v>
      </c>
      <c r="H60" s="113">
        <v>1</v>
      </c>
      <c r="I60" s="113">
        <v>1</v>
      </c>
      <c r="J60" s="113">
        <v>1</v>
      </c>
      <c r="K60" s="113">
        <v>1</v>
      </c>
      <c r="L60" s="113">
        <v>1</v>
      </c>
      <c r="M60" s="113">
        <v>1</v>
      </c>
      <c r="N60" s="113">
        <v>1</v>
      </c>
      <c r="O60" s="113">
        <v>1</v>
      </c>
      <c r="P60" s="113">
        <v>1</v>
      </c>
    </row>
    <row r="61" spans="1:16" x14ac:dyDescent="0.15">
      <c r="C61" s="4" t="s">
        <v>200</v>
      </c>
      <c r="D61" s="113">
        <v>1</v>
      </c>
      <c r="E61" s="113">
        <v>1</v>
      </c>
      <c r="F61" s="113">
        <v>1</v>
      </c>
      <c r="G61" s="113">
        <v>1</v>
      </c>
      <c r="H61" s="113">
        <v>1</v>
      </c>
      <c r="I61" s="113">
        <v>10.675000000000001</v>
      </c>
      <c r="J61" s="113">
        <v>10.675000000000001</v>
      </c>
      <c r="K61" s="113">
        <v>10.675000000000001</v>
      </c>
      <c r="L61" s="113">
        <v>10.675000000000001</v>
      </c>
      <c r="M61" s="113">
        <v>1</v>
      </c>
      <c r="N61" s="113">
        <v>1</v>
      </c>
      <c r="O61" s="113">
        <v>1</v>
      </c>
      <c r="P61" s="113">
        <v>1</v>
      </c>
    </row>
    <row r="62" spans="1:16" x14ac:dyDescent="0.15">
      <c r="C62" s="4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r="63" spans="1:16" x14ac:dyDescent="0.15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</row>
    <row r="64" spans="1:16" x14ac:dyDescent="0.15">
      <c r="A64" s="7" t="s">
        <v>36</v>
      </c>
      <c r="B64" t="s">
        <v>210</v>
      </c>
      <c r="C64" s="4" t="s">
        <v>37</v>
      </c>
      <c r="D64" s="113">
        <v>1</v>
      </c>
      <c r="E64" s="113">
        <v>1</v>
      </c>
      <c r="F64" s="113">
        <v>1</v>
      </c>
      <c r="G64" s="113">
        <v>1</v>
      </c>
      <c r="H64" s="113">
        <v>1</v>
      </c>
      <c r="I64" s="113">
        <v>1</v>
      </c>
      <c r="J64" s="113">
        <v>1</v>
      </c>
      <c r="K64" s="113">
        <v>1</v>
      </c>
      <c r="L64" s="113">
        <v>1</v>
      </c>
      <c r="M64" s="113">
        <v>1</v>
      </c>
      <c r="N64" s="113">
        <v>1</v>
      </c>
      <c r="O64" s="113">
        <v>1</v>
      </c>
      <c r="P64" s="113">
        <v>1</v>
      </c>
    </row>
    <row r="65" spans="2:16" x14ac:dyDescent="0.15">
      <c r="C65" s="4" t="s">
        <v>38</v>
      </c>
      <c r="D65" s="113">
        <v>1.35</v>
      </c>
      <c r="E65" s="113">
        <v>1</v>
      </c>
      <c r="F65" s="113">
        <v>1</v>
      </c>
      <c r="G65" s="113">
        <v>1</v>
      </c>
      <c r="H65" s="113">
        <v>1</v>
      </c>
      <c r="I65" s="113">
        <v>1</v>
      </c>
      <c r="J65" s="113">
        <v>1</v>
      </c>
      <c r="K65" s="113">
        <v>1</v>
      </c>
      <c r="L65" s="113">
        <v>1</v>
      </c>
      <c r="M65" s="113">
        <v>1</v>
      </c>
      <c r="N65" s="113">
        <v>1</v>
      </c>
      <c r="O65" s="113">
        <v>1</v>
      </c>
      <c r="P65" s="113">
        <v>1</v>
      </c>
    </row>
    <row r="66" spans="2:16" x14ac:dyDescent="0.15">
      <c r="C66" s="4" t="s">
        <v>39</v>
      </c>
      <c r="D66" s="113">
        <v>1.35</v>
      </c>
      <c r="E66" s="113">
        <v>1</v>
      </c>
      <c r="F66" s="113">
        <v>1</v>
      </c>
      <c r="G66" s="113">
        <v>1</v>
      </c>
      <c r="H66" s="113">
        <v>1</v>
      </c>
      <c r="I66" s="113">
        <v>1</v>
      </c>
      <c r="J66" s="113">
        <v>1</v>
      </c>
      <c r="K66" s="113">
        <v>1</v>
      </c>
      <c r="L66" s="113">
        <v>1</v>
      </c>
      <c r="M66" s="113">
        <v>1</v>
      </c>
      <c r="N66" s="113">
        <v>1</v>
      </c>
      <c r="O66" s="113">
        <v>1</v>
      </c>
      <c r="P66" s="113">
        <v>1</v>
      </c>
    </row>
    <row r="67" spans="2:16" x14ac:dyDescent="0.15">
      <c r="C67" s="4" t="s">
        <v>40</v>
      </c>
      <c r="D67" s="113">
        <v>5.4</v>
      </c>
      <c r="E67" s="113">
        <v>1</v>
      </c>
      <c r="F67" s="113">
        <v>1</v>
      </c>
      <c r="G67" s="113">
        <v>1</v>
      </c>
      <c r="H67" s="113">
        <v>1</v>
      </c>
      <c r="I67" s="113">
        <v>1</v>
      </c>
      <c r="J67" s="113">
        <v>1</v>
      </c>
      <c r="K67" s="113">
        <v>1</v>
      </c>
      <c r="L67" s="113">
        <v>1</v>
      </c>
      <c r="M67" s="113">
        <v>1</v>
      </c>
      <c r="N67" s="113">
        <v>1</v>
      </c>
      <c r="O67" s="113">
        <v>1</v>
      </c>
      <c r="P67" s="113">
        <v>1</v>
      </c>
    </row>
    <row r="68" spans="2:16" x14ac:dyDescent="0.15">
      <c r="B68" t="s">
        <v>15</v>
      </c>
      <c r="C68" s="4" t="s">
        <v>37</v>
      </c>
      <c r="D68" s="113">
        <v>1</v>
      </c>
      <c r="E68" s="113">
        <v>1</v>
      </c>
      <c r="F68" s="113">
        <v>1</v>
      </c>
      <c r="G68" s="113">
        <v>1</v>
      </c>
      <c r="H68" s="113">
        <v>1</v>
      </c>
      <c r="I68" s="113">
        <v>1</v>
      </c>
      <c r="J68" s="113">
        <v>1</v>
      </c>
      <c r="K68" s="113">
        <v>1</v>
      </c>
      <c r="L68" s="113">
        <v>1</v>
      </c>
      <c r="M68" s="113">
        <v>1</v>
      </c>
      <c r="N68" s="113">
        <v>1</v>
      </c>
      <c r="O68" s="113">
        <v>1</v>
      </c>
      <c r="P68" s="113">
        <v>1</v>
      </c>
    </row>
    <row r="69" spans="2:16" x14ac:dyDescent="0.15">
      <c r="C69" s="4" t="s">
        <v>38</v>
      </c>
      <c r="D69" s="113">
        <v>1.35</v>
      </c>
      <c r="E69" s="113">
        <v>1</v>
      </c>
      <c r="F69" s="113">
        <v>1</v>
      </c>
      <c r="G69" s="113">
        <v>1</v>
      </c>
      <c r="H69" s="113">
        <v>1</v>
      </c>
      <c r="I69" s="113">
        <v>1</v>
      </c>
      <c r="J69" s="113">
        <v>1</v>
      </c>
      <c r="K69" s="113">
        <v>1</v>
      </c>
      <c r="L69" s="113">
        <v>1</v>
      </c>
      <c r="M69" s="113">
        <v>1</v>
      </c>
      <c r="N69" s="113">
        <v>1</v>
      </c>
      <c r="O69" s="113">
        <v>1</v>
      </c>
      <c r="P69" s="113">
        <v>1</v>
      </c>
    </row>
    <row r="70" spans="2:16" x14ac:dyDescent="0.15">
      <c r="C70" s="4" t="s">
        <v>39</v>
      </c>
      <c r="D70" s="113">
        <v>1.35</v>
      </c>
      <c r="E70" s="113">
        <v>1</v>
      </c>
      <c r="F70" s="113">
        <v>1</v>
      </c>
      <c r="G70" s="113">
        <v>1</v>
      </c>
      <c r="H70" s="113">
        <v>1</v>
      </c>
      <c r="I70" s="113">
        <v>1</v>
      </c>
      <c r="J70" s="113">
        <v>1</v>
      </c>
      <c r="K70" s="113">
        <v>1</v>
      </c>
      <c r="L70" s="113">
        <v>1</v>
      </c>
      <c r="M70" s="113">
        <v>1</v>
      </c>
      <c r="N70" s="113">
        <v>1</v>
      </c>
      <c r="O70" s="113">
        <v>1</v>
      </c>
      <c r="P70" s="113">
        <v>1</v>
      </c>
    </row>
    <row r="71" spans="2:16" x14ac:dyDescent="0.15">
      <c r="C71" s="4" t="s">
        <v>40</v>
      </c>
      <c r="D71" s="113">
        <v>5.4</v>
      </c>
      <c r="E71" s="113">
        <v>1</v>
      </c>
      <c r="F71" s="113">
        <v>1</v>
      </c>
      <c r="G71" s="113">
        <v>1</v>
      </c>
      <c r="H71" s="113">
        <v>1</v>
      </c>
      <c r="I71" s="113">
        <v>1</v>
      </c>
      <c r="J71" s="113">
        <v>1</v>
      </c>
      <c r="K71" s="113">
        <v>1</v>
      </c>
      <c r="L71" s="113">
        <v>1</v>
      </c>
      <c r="M71" s="113">
        <v>1</v>
      </c>
      <c r="N71" s="113">
        <v>1</v>
      </c>
      <c r="O71" s="113">
        <v>1</v>
      </c>
      <c r="P71" s="113">
        <v>1</v>
      </c>
    </row>
    <row r="72" spans="2:16" x14ac:dyDescent="0.15">
      <c r="B72" t="s">
        <v>16</v>
      </c>
      <c r="C72" s="4" t="s">
        <v>37</v>
      </c>
      <c r="D72" s="113">
        <v>1</v>
      </c>
      <c r="E72" s="113">
        <v>1</v>
      </c>
      <c r="F72" s="113">
        <v>1</v>
      </c>
      <c r="G72" s="113">
        <v>1</v>
      </c>
      <c r="H72" s="113">
        <v>1</v>
      </c>
      <c r="I72" s="113">
        <v>1</v>
      </c>
      <c r="J72" s="113">
        <v>1</v>
      </c>
      <c r="K72" s="113">
        <v>1</v>
      </c>
      <c r="L72" s="113">
        <v>1</v>
      </c>
      <c r="M72" s="113">
        <v>1</v>
      </c>
      <c r="N72" s="113">
        <v>1</v>
      </c>
      <c r="O72" s="113">
        <v>1</v>
      </c>
      <c r="P72" s="113">
        <v>1</v>
      </c>
    </row>
    <row r="73" spans="2:16" x14ac:dyDescent="0.15">
      <c r="C73" s="4" t="s">
        <v>38</v>
      </c>
      <c r="D73" s="113">
        <v>1.35</v>
      </c>
      <c r="E73" s="113">
        <v>1</v>
      </c>
      <c r="F73" s="113">
        <v>1</v>
      </c>
      <c r="G73" s="113">
        <v>1</v>
      </c>
      <c r="H73" s="113">
        <v>1</v>
      </c>
      <c r="I73" s="113">
        <v>1</v>
      </c>
      <c r="J73" s="113">
        <v>1</v>
      </c>
      <c r="K73" s="113">
        <v>1</v>
      </c>
      <c r="L73" s="113">
        <v>1</v>
      </c>
      <c r="M73" s="113">
        <v>1</v>
      </c>
      <c r="N73" s="113">
        <v>1</v>
      </c>
      <c r="O73" s="113">
        <v>1</v>
      </c>
      <c r="P73" s="113">
        <v>1</v>
      </c>
    </row>
    <row r="74" spans="2:16" x14ac:dyDescent="0.15">
      <c r="C74" s="4" t="s">
        <v>39</v>
      </c>
      <c r="D74" s="113">
        <v>1.35</v>
      </c>
      <c r="E74" s="113">
        <v>1</v>
      </c>
      <c r="F74" s="113">
        <v>1</v>
      </c>
      <c r="G74" s="113">
        <v>1</v>
      </c>
      <c r="H74" s="113">
        <v>1</v>
      </c>
      <c r="I74" s="113">
        <v>1</v>
      </c>
      <c r="J74" s="113">
        <v>1</v>
      </c>
      <c r="K74" s="113">
        <v>1</v>
      </c>
      <c r="L74" s="113">
        <v>1</v>
      </c>
      <c r="M74" s="113">
        <v>1</v>
      </c>
      <c r="N74" s="113">
        <v>1</v>
      </c>
      <c r="O74" s="113">
        <v>1</v>
      </c>
      <c r="P74" s="113">
        <v>1</v>
      </c>
    </row>
    <row r="75" spans="2:16" x14ac:dyDescent="0.15">
      <c r="C75" s="4" t="s">
        <v>40</v>
      </c>
      <c r="D75" s="113">
        <v>5.4</v>
      </c>
      <c r="E75" s="113">
        <v>1</v>
      </c>
      <c r="F75" s="113">
        <v>1</v>
      </c>
      <c r="G75" s="113">
        <v>1</v>
      </c>
      <c r="H75" s="113">
        <v>1</v>
      </c>
      <c r="I75" s="113">
        <v>1</v>
      </c>
      <c r="J75" s="113">
        <v>1</v>
      </c>
      <c r="K75" s="113">
        <v>1</v>
      </c>
      <c r="L75" s="113">
        <v>1</v>
      </c>
      <c r="M75" s="113">
        <v>1</v>
      </c>
      <c r="N75" s="113">
        <v>1</v>
      </c>
      <c r="O75" s="113">
        <v>1</v>
      </c>
      <c r="P75" s="113">
        <v>1</v>
      </c>
    </row>
    <row r="76" spans="2:16" x14ac:dyDescent="0.15">
      <c r="B76" t="s">
        <v>21</v>
      </c>
      <c r="C76" s="4" t="s">
        <v>37</v>
      </c>
      <c r="D76" s="113">
        <v>1</v>
      </c>
      <c r="E76" s="113">
        <v>1</v>
      </c>
      <c r="F76" s="113">
        <v>1</v>
      </c>
      <c r="G76" s="113">
        <v>1</v>
      </c>
      <c r="H76" s="113">
        <v>1</v>
      </c>
      <c r="I76" s="113">
        <v>1</v>
      </c>
      <c r="J76" s="113">
        <v>1</v>
      </c>
      <c r="K76" s="113">
        <v>1</v>
      </c>
      <c r="L76" s="113">
        <v>1</v>
      </c>
      <c r="M76" s="113">
        <v>1</v>
      </c>
      <c r="N76" s="113">
        <v>1</v>
      </c>
      <c r="O76" s="113">
        <v>1</v>
      </c>
      <c r="P76" s="113">
        <v>1</v>
      </c>
    </row>
    <row r="77" spans="2:16" x14ac:dyDescent="0.15">
      <c r="C77" s="4" t="s">
        <v>38</v>
      </c>
      <c r="D77" s="113">
        <v>1</v>
      </c>
      <c r="E77" s="113">
        <v>1</v>
      </c>
      <c r="F77" s="113">
        <v>1</v>
      </c>
      <c r="G77" s="113">
        <v>1</v>
      </c>
      <c r="H77" s="113">
        <v>1</v>
      </c>
      <c r="I77" s="113">
        <v>1</v>
      </c>
      <c r="J77" s="113">
        <v>1</v>
      </c>
      <c r="K77" s="113">
        <v>1</v>
      </c>
      <c r="L77" s="113">
        <v>1</v>
      </c>
      <c r="M77" s="113">
        <v>1</v>
      </c>
      <c r="N77" s="113">
        <v>1</v>
      </c>
      <c r="O77" s="113">
        <v>1</v>
      </c>
      <c r="P77" s="113">
        <v>1</v>
      </c>
    </row>
    <row r="78" spans="2:16" x14ac:dyDescent="0.15">
      <c r="C78" s="4" t="s">
        <v>39</v>
      </c>
      <c r="D78" s="113">
        <v>1</v>
      </c>
      <c r="E78" s="113">
        <v>1</v>
      </c>
      <c r="F78" s="113">
        <v>1</v>
      </c>
      <c r="G78" s="113">
        <v>1</v>
      </c>
      <c r="H78" s="113">
        <v>1</v>
      </c>
      <c r="I78" s="113">
        <v>1</v>
      </c>
      <c r="J78" s="113">
        <v>1</v>
      </c>
      <c r="K78" s="113">
        <v>1</v>
      </c>
      <c r="L78" s="113">
        <v>1</v>
      </c>
      <c r="M78" s="113">
        <v>1</v>
      </c>
      <c r="N78" s="113">
        <v>1</v>
      </c>
      <c r="O78" s="113">
        <v>1</v>
      </c>
      <c r="P78" s="113">
        <v>1</v>
      </c>
    </row>
    <row r="79" spans="2:16" x14ac:dyDescent="0.15">
      <c r="C79" s="4" t="s">
        <v>40</v>
      </c>
      <c r="D79" s="113">
        <v>1</v>
      </c>
      <c r="E79" s="113">
        <v>1</v>
      </c>
      <c r="F79" s="113">
        <v>1</v>
      </c>
      <c r="G79" s="113">
        <v>1</v>
      </c>
      <c r="H79" s="113">
        <v>1</v>
      </c>
      <c r="I79" s="113">
        <v>1</v>
      </c>
      <c r="J79" s="113">
        <v>1</v>
      </c>
      <c r="K79" s="113">
        <v>1</v>
      </c>
      <c r="L79" s="113">
        <v>1</v>
      </c>
      <c r="M79" s="113">
        <v>1</v>
      </c>
      <c r="N79" s="113">
        <v>1</v>
      </c>
      <c r="O79" s="113">
        <v>1</v>
      </c>
      <c r="P79" s="113">
        <v>1</v>
      </c>
    </row>
    <row r="80" spans="2:16" x14ac:dyDescent="0.15">
      <c r="B80" t="s">
        <v>206</v>
      </c>
      <c r="C80" s="4" t="s">
        <v>37</v>
      </c>
      <c r="D80" s="113">
        <v>1</v>
      </c>
      <c r="E80" s="113">
        <v>1</v>
      </c>
      <c r="F80" s="113">
        <v>1</v>
      </c>
      <c r="G80" s="113">
        <v>1</v>
      </c>
      <c r="H80" s="113">
        <v>1</v>
      </c>
      <c r="I80" s="113">
        <v>1</v>
      </c>
      <c r="J80" s="113">
        <v>1</v>
      </c>
      <c r="K80" s="113">
        <v>1</v>
      </c>
      <c r="L80" s="113">
        <v>1</v>
      </c>
      <c r="M80" s="113">
        <v>1</v>
      </c>
      <c r="N80" s="113">
        <v>1</v>
      </c>
      <c r="O80" s="113">
        <v>1</v>
      </c>
      <c r="P80" s="113">
        <v>1</v>
      </c>
    </row>
    <row r="81" spans="1:16" x14ac:dyDescent="0.15">
      <c r="C81" s="4" t="s">
        <v>38</v>
      </c>
      <c r="D81" s="113">
        <v>1</v>
      </c>
      <c r="E81" s="113">
        <v>2.2799999999999998</v>
      </c>
      <c r="F81" s="113">
        <v>1</v>
      </c>
      <c r="G81" s="113">
        <v>1</v>
      </c>
      <c r="H81" s="113">
        <v>1</v>
      </c>
      <c r="I81" s="113">
        <v>1</v>
      </c>
      <c r="J81" s="113">
        <v>1</v>
      </c>
      <c r="K81" s="113">
        <v>1</v>
      </c>
      <c r="L81" s="113">
        <v>1</v>
      </c>
      <c r="M81" s="113">
        <v>1</v>
      </c>
      <c r="N81" s="113">
        <v>1</v>
      </c>
      <c r="O81" s="113">
        <v>1</v>
      </c>
      <c r="P81" s="113">
        <v>1</v>
      </c>
    </row>
    <row r="82" spans="1:16" x14ac:dyDescent="0.15">
      <c r="C82" s="4" t="s">
        <v>39</v>
      </c>
      <c r="D82" s="113">
        <v>1</v>
      </c>
      <c r="E82" s="113">
        <v>4.62</v>
      </c>
      <c r="F82" s="113">
        <v>1</v>
      </c>
      <c r="G82" s="113">
        <v>1</v>
      </c>
      <c r="H82" s="113">
        <v>1</v>
      </c>
      <c r="I82" s="113">
        <v>1</v>
      </c>
      <c r="J82" s="113">
        <v>1</v>
      </c>
      <c r="K82" s="113">
        <v>1</v>
      </c>
      <c r="L82" s="113">
        <v>1</v>
      </c>
      <c r="M82" s="113">
        <v>1</v>
      </c>
      <c r="N82" s="113">
        <v>1</v>
      </c>
      <c r="O82" s="113">
        <v>1</v>
      </c>
      <c r="P82" s="113">
        <v>1</v>
      </c>
    </row>
    <row r="83" spans="1:16" x14ac:dyDescent="0.15">
      <c r="C83" s="4" t="s">
        <v>40</v>
      </c>
      <c r="D83" s="113">
        <v>1</v>
      </c>
      <c r="E83" s="113">
        <v>10.52</v>
      </c>
      <c r="F83" s="113">
        <v>1.47</v>
      </c>
      <c r="G83" s="113">
        <v>2.57</v>
      </c>
      <c r="H83" s="113">
        <v>1</v>
      </c>
      <c r="I83" s="113">
        <v>1</v>
      </c>
      <c r="J83" s="113">
        <v>1</v>
      </c>
      <c r="K83" s="113">
        <v>1</v>
      </c>
      <c r="L83" s="113">
        <v>1</v>
      </c>
      <c r="M83" s="113">
        <v>1</v>
      </c>
      <c r="N83" s="113">
        <v>1</v>
      </c>
      <c r="O83" s="113">
        <v>1</v>
      </c>
      <c r="P83" s="113">
        <v>1</v>
      </c>
    </row>
    <row r="84" spans="1:16" x14ac:dyDescent="0.15">
      <c r="B84" t="s">
        <v>28</v>
      </c>
      <c r="C84" s="4" t="s">
        <v>37</v>
      </c>
      <c r="D84" s="113">
        <v>1</v>
      </c>
      <c r="E84" s="113">
        <v>1</v>
      </c>
      <c r="F84" s="113">
        <v>1</v>
      </c>
      <c r="G84" s="113">
        <v>1</v>
      </c>
      <c r="H84" s="113">
        <v>1</v>
      </c>
      <c r="I84" s="113">
        <v>1</v>
      </c>
      <c r="J84" s="113">
        <v>1</v>
      </c>
      <c r="K84" s="113">
        <v>1</v>
      </c>
      <c r="L84" s="113">
        <v>1</v>
      </c>
      <c r="M84" s="113">
        <v>1</v>
      </c>
      <c r="N84" s="113">
        <v>1</v>
      </c>
      <c r="O84" s="113">
        <v>1</v>
      </c>
      <c r="P84" s="113">
        <v>1</v>
      </c>
    </row>
    <row r="85" spans="1:16" x14ac:dyDescent="0.15">
      <c r="C85" s="4" t="s">
        <v>38</v>
      </c>
      <c r="D85" s="113">
        <v>1</v>
      </c>
      <c r="E85" s="113">
        <v>1.66</v>
      </c>
      <c r="F85" s="113">
        <v>1</v>
      </c>
      <c r="G85" s="113">
        <v>1</v>
      </c>
      <c r="H85" s="113">
        <v>1</v>
      </c>
      <c r="I85" s="113">
        <v>1</v>
      </c>
      <c r="J85" s="113">
        <v>1</v>
      </c>
      <c r="K85" s="113">
        <v>1</v>
      </c>
      <c r="L85" s="113">
        <v>1</v>
      </c>
      <c r="M85" s="113">
        <v>1</v>
      </c>
      <c r="N85" s="113">
        <v>1</v>
      </c>
      <c r="O85" s="113">
        <v>1</v>
      </c>
      <c r="P85" s="113">
        <v>1</v>
      </c>
    </row>
    <row r="86" spans="1:16" x14ac:dyDescent="0.15">
      <c r="C86" s="4" t="s">
        <v>39</v>
      </c>
      <c r="D86" s="113">
        <v>1</v>
      </c>
      <c r="E86" s="113">
        <v>2.5</v>
      </c>
      <c r="F86" s="113">
        <v>1</v>
      </c>
      <c r="G86" s="113">
        <v>1</v>
      </c>
      <c r="H86" s="113">
        <v>1</v>
      </c>
      <c r="I86" s="113">
        <v>1</v>
      </c>
      <c r="J86" s="113">
        <v>1</v>
      </c>
      <c r="K86" s="113">
        <v>1</v>
      </c>
      <c r="L86" s="113">
        <v>1</v>
      </c>
      <c r="M86" s="113">
        <v>1</v>
      </c>
      <c r="N86" s="113">
        <v>1</v>
      </c>
      <c r="O86" s="113">
        <v>1</v>
      </c>
      <c r="P86" s="113">
        <v>1</v>
      </c>
    </row>
    <row r="87" spans="1:16" x14ac:dyDescent="0.15">
      <c r="C87" s="4" t="s">
        <v>40</v>
      </c>
      <c r="D87" s="113">
        <v>1</v>
      </c>
      <c r="E87" s="113">
        <v>14.97</v>
      </c>
      <c r="F87" s="113">
        <v>1.92</v>
      </c>
      <c r="G87" s="113">
        <v>1.92</v>
      </c>
      <c r="H87" s="113">
        <v>1</v>
      </c>
      <c r="I87" s="113">
        <v>1</v>
      </c>
      <c r="J87" s="113">
        <v>1</v>
      </c>
      <c r="K87" s="113">
        <v>1</v>
      </c>
      <c r="L87" s="113">
        <v>1</v>
      </c>
      <c r="M87" s="113">
        <v>1</v>
      </c>
      <c r="N87" s="113">
        <v>1</v>
      </c>
      <c r="O87" s="113">
        <v>1</v>
      </c>
      <c r="P87" s="113">
        <v>1</v>
      </c>
    </row>
    <row r="88" spans="1:16" x14ac:dyDescent="0.15">
      <c r="B88" t="s">
        <v>29</v>
      </c>
      <c r="C88" s="4" t="s">
        <v>37</v>
      </c>
      <c r="D88" s="113">
        <v>1</v>
      </c>
      <c r="E88" s="113">
        <v>1</v>
      </c>
      <c r="F88" s="113">
        <v>1</v>
      </c>
      <c r="G88" s="113">
        <v>1</v>
      </c>
      <c r="H88" s="113">
        <v>1</v>
      </c>
      <c r="I88" s="113">
        <v>1</v>
      </c>
      <c r="J88" s="113">
        <v>1</v>
      </c>
      <c r="K88" s="113">
        <v>1</v>
      </c>
      <c r="L88" s="113">
        <v>1</v>
      </c>
      <c r="M88" s="113">
        <v>1</v>
      </c>
      <c r="N88" s="113">
        <v>1</v>
      </c>
      <c r="O88" s="113">
        <v>1</v>
      </c>
      <c r="P88" s="113">
        <v>1</v>
      </c>
    </row>
    <row r="89" spans="1:16" x14ac:dyDescent="0.15">
      <c r="C89" s="4" t="s">
        <v>38</v>
      </c>
      <c r="D89" s="113">
        <v>1</v>
      </c>
      <c r="E89" s="113">
        <v>1.48</v>
      </c>
      <c r="F89" s="113">
        <v>1</v>
      </c>
      <c r="G89" s="113">
        <v>1</v>
      </c>
      <c r="H89" s="113">
        <v>1</v>
      </c>
      <c r="I89" s="113">
        <v>1</v>
      </c>
      <c r="J89" s="113">
        <v>1</v>
      </c>
      <c r="K89" s="113">
        <v>1</v>
      </c>
      <c r="L89" s="113">
        <v>1</v>
      </c>
      <c r="M89" s="113">
        <v>1</v>
      </c>
      <c r="N89" s="113">
        <v>1</v>
      </c>
      <c r="O89" s="113">
        <v>1</v>
      </c>
      <c r="P89" s="113">
        <v>1</v>
      </c>
    </row>
    <row r="90" spans="1:16" x14ac:dyDescent="0.15">
      <c r="C90" s="4" t="s">
        <v>39</v>
      </c>
      <c r="D90" s="113">
        <v>1</v>
      </c>
      <c r="E90" s="113">
        <v>2.84</v>
      </c>
      <c r="F90" s="113">
        <v>1</v>
      </c>
      <c r="G90" s="113">
        <v>1</v>
      </c>
      <c r="H90" s="113">
        <v>1</v>
      </c>
      <c r="I90" s="113">
        <v>1</v>
      </c>
      <c r="J90" s="113">
        <v>1</v>
      </c>
      <c r="K90" s="113">
        <v>1</v>
      </c>
      <c r="L90" s="113">
        <v>1</v>
      </c>
      <c r="M90" s="113">
        <v>1</v>
      </c>
      <c r="N90" s="113">
        <v>1</v>
      </c>
      <c r="O90" s="113">
        <v>1</v>
      </c>
      <c r="P90" s="113">
        <v>1</v>
      </c>
    </row>
    <row r="91" spans="1:16" x14ac:dyDescent="0.15">
      <c r="C91" s="4" t="s">
        <v>40</v>
      </c>
      <c r="D91" s="113">
        <v>1</v>
      </c>
      <c r="E91" s="113">
        <v>14.4</v>
      </c>
      <c r="F91" s="113">
        <v>3.69</v>
      </c>
      <c r="G91" s="113">
        <v>3.69</v>
      </c>
      <c r="H91" s="113">
        <v>1</v>
      </c>
      <c r="I91" s="113">
        <v>1</v>
      </c>
      <c r="J91" s="113">
        <v>1</v>
      </c>
      <c r="K91" s="113">
        <v>1</v>
      </c>
      <c r="L91" s="113">
        <v>1</v>
      </c>
      <c r="M91" s="113">
        <v>1</v>
      </c>
      <c r="N91" s="113">
        <v>1</v>
      </c>
      <c r="O91" s="113">
        <v>1</v>
      </c>
      <c r="P91" s="113">
        <v>1</v>
      </c>
    </row>
    <row r="92" spans="1:16" x14ac:dyDescent="0.15"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</row>
    <row r="93" spans="1:16" x14ac:dyDescent="0.15"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</row>
    <row r="94" spans="1:16" x14ac:dyDescent="0.15">
      <c r="A94" s="7" t="s">
        <v>207</v>
      </c>
      <c r="B94" s="8" t="s">
        <v>208</v>
      </c>
      <c r="C94" s="4" t="s">
        <v>37</v>
      </c>
      <c r="D94" s="113">
        <v>1</v>
      </c>
      <c r="E94" s="113">
        <v>1</v>
      </c>
      <c r="F94" s="113">
        <v>1</v>
      </c>
      <c r="G94" s="113">
        <v>1</v>
      </c>
      <c r="H94" s="113">
        <v>1</v>
      </c>
      <c r="I94" s="113">
        <v>1</v>
      </c>
      <c r="J94" s="113">
        <v>1</v>
      </c>
      <c r="K94" s="113">
        <v>1</v>
      </c>
      <c r="L94" s="113">
        <v>1</v>
      </c>
      <c r="M94" s="113">
        <v>1</v>
      </c>
      <c r="N94" s="113">
        <v>1</v>
      </c>
      <c r="O94" s="113">
        <v>1</v>
      </c>
      <c r="P94" s="113">
        <v>1</v>
      </c>
    </row>
    <row r="95" spans="1:16" x14ac:dyDescent="0.15">
      <c r="C95" s="4" t="s">
        <v>38</v>
      </c>
      <c r="D95" s="113">
        <v>1.26</v>
      </c>
      <c r="E95" s="113">
        <v>1.26</v>
      </c>
      <c r="F95" s="113">
        <v>1</v>
      </c>
      <c r="G95" s="113">
        <v>1</v>
      </c>
      <c r="H95" s="113">
        <v>1</v>
      </c>
      <c r="I95" s="113">
        <v>1</v>
      </c>
      <c r="J95" s="113">
        <v>1</v>
      </c>
      <c r="K95" s="113">
        <v>1</v>
      </c>
      <c r="L95" s="113">
        <v>1</v>
      </c>
      <c r="M95" s="113">
        <v>1</v>
      </c>
      <c r="N95" s="113">
        <v>1</v>
      </c>
      <c r="O95" s="113">
        <v>1</v>
      </c>
      <c r="P95" s="113">
        <v>1</v>
      </c>
    </row>
    <row r="96" spans="1:16" x14ac:dyDescent="0.15">
      <c r="C96" s="4" t="s">
        <v>39</v>
      </c>
      <c r="D96" s="113">
        <v>1.68</v>
      </c>
      <c r="E96" s="113">
        <v>1.68</v>
      </c>
      <c r="F96" s="113">
        <v>1</v>
      </c>
      <c r="G96" s="113">
        <v>1</v>
      </c>
      <c r="H96" s="113">
        <v>1</v>
      </c>
      <c r="I96" s="113">
        <v>1</v>
      </c>
      <c r="J96" s="113">
        <v>1</v>
      </c>
      <c r="K96" s="113">
        <v>1</v>
      </c>
      <c r="L96" s="113">
        <v>1</v>
      </c>
      <c r="M96" s="113">
        <v>1</v>
      </c>
      <c r="N96" s="113">
        <v>1</v>
      </c>
      <c r="O96" s="113">
        <v>1</v>
      </c>
      <c r="P96" s="113">
        <v>1</v>
      </c>
    </row>
    <row r="97" spans="1:16" x14ac:dyDescent="0.15">
      <c r="C97" s="4" t="s">
        <v>40</v>
      </c>
      <c r="D97" s="113">
        <v>2.65</v>
      </c>
      <c r="E97" s="113">
        <v>2.65</v>
      </c>
      <c r="F97" s="113">
        <v>2.0699999999999998</v>
      </c>
      <c r="G97" s="113">
        <v>2.0699999999999998</v>
      </c>
      <c r="H97" s="113">
        <v>1</v>
      </c>
      <c r="I97" s="113">
        <v>1</v>
      </c>
      <c r="J97" s="113">
        <v>1</v>
      </c>
      <c r="K97" s="113">
        <v>1</v>
      </c>
      <c r="L97" s="113">
        <v>1</v>
      </c>
      <c r="M97" s="113">
        <v>1</v>
      </c>
      <c r="N97" s="113">
        <v>1</v>
      </c>
      <c r="O97" s="113">
        <v>1</v>
      </c>
      <c r="P97" s="113">
        <v>1</v>
      </c>
    </row>
    <row r="100" spans="1:16" x14ac:dyDescent="0.15">
      <c r="A100" s="7"/>
    </row>
  </sheetData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0.39997558519241921"/>
  </sheetPr>
  <dimension ref="A1:G22"/>
  <sheetViews>
    <sheetView workbookViewId="0">
      <selection activeCell="B18" sqref="B18"/>
    </sheetView>
    <sheetView topLeftCell="A2" workbookViewId="1"/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7" t="s">
        <v>48</v>
      </c>
      <c r="B1" s="1" t="s">
        <v>245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</row>
    <row r="2" spans="1:7" x14ac:dyDescent="0.15">
      <c r="A2" s="7" t="s">
        <v>185</v>
      </c>
      <c r="B2" t="s">
        <v>59</v>
      </c>
      <c r="C2" s="19"/>
      <c r="D2" s="113">
        <v>45</v>
      </c>
      <c r="E2" s="113">
        <v>361.6</v>
      </c>
      <c r="F2" s="113">
        <v>174.7</v>
      </c>
      <c r="G2" s="113">
        <v>174.7</v>
      </c>
    </row>
    <row r="3" spans="1:7" x14ac:dyDescent="0.15">
      <c r="B3" s="4"/>
    </row>
    <row r="4" spans="1:7" x14ac:dyDescent="0.15">
      <c r="A4" s="7" t="s">
        <v>212</v>
      </c>
      <c r="B4" s="4" t="s">
        <v>206</v>
      </c>
      <c r="C4" s="114">
        <v>1.024</v>
      </c>
      <c r="D4" s="114">
        <v>1.024</v>
      </c>
      <c r="E4" s="114">
        <v>1.024</v>
      </c>
      <c r="F4" s="114">
        <v>1.024</v>
      </c>
      <c r="G4" s="114">
        <v>1.024</v>
      </c>
    </row>
    <row r="6" spans="1:7" x14ac:dyDescent="0.15">
      <c r="A6" s="7" t="s">
        <v>173</v>
      </c>
      <c r="B6" s="4" t="s">
        <v>44</v>
      </c>
      <c r="C6" s="113">
        <v>1</v>
      </c>
      <c r="D6" s="113">
        <v>1</v>
      </c>
      <c r="E6" s="113">
        <v>1</v>
      </c>
      <c r="F6" s="113">
        <v>1</v>
      </c>
      <c r="G6" s="113">
        <v>1</v>
      </c>
    </row>
    <row r="7" spans="1:7" x14ac:dyDescent="0.15">
      <c r="B7" s="4" t="s">
        <v>45</v>
      </c>
      <c r="C7" s="113">
        <v>1</v>
      </c>
      <c r="D7" s="113">
        <v>1</v>
      </c>
      <c r="E7" s="113">
        <v>1.43</v>
      </c>
      <c r="F7" s="113">
        <v>1.43</v>
      </c>
      <c r="G7" s="113">
        <v>1</v>
      </c>
    </row>
    <row r="8" spans="1:7" x14ac:dyDescent="0.15">
      <c r="B8" s="4" t="s">
        <v>103</v>
      </c>
      <c r="C8" s="113">
        <v>1</v>
      </c>
      <c r="D8" s="113">
        <v>1</v>
      </c>
      <c r="E8" s="113">
        <v>1.6</v>
      </c>
      <c r="F8" s="113">
        <v>1.6</v>
      </c>
      <c r="G8" s="113">
        <v>1</v>
      </c>
    </row>
    <row r="9" spans="1:7" x14ac:dyDescent="0.15">
      <c r="B9" s="4" t="s">
        <v>98</v>
      </c>
      <c r="C9" s="113">
        <v>1</v>
      </c>
      <c r="D9" s="113">
        <v>1</v>
      </c>
      <c r="E9" s="113">
        <v>1.6</v>
      </c>
      <c r="F9" s="113">
        <v>1.6</v>
      </c>
      <c r="G9" s="113">
        <v>1</v>
      </c>
    </row>
    <row r="10" spans="1:7" x14ac:dyDescent="0.15">
      <c r="B10" s="4" t="s">
        <v>46</v>
      </c>
      <c r="C10" s="113">
        <v>1</v>
      </c>
      <c r="D10" s="113">
        <v>1</v>
      </c>
      <c r="E10" s="113">
        <v>2.39</v>
      </c>
      <c r="F10" s="113">
        <v>2.39</v>
      </c>
      <c r="G10" s="113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7" t="s">
        <v>246</v>
      </c>
      <c r="B12" s="4" t="s">
        <v>133</v>
      </c>
      <c r="C12" s="113">
        <v>1</v>
      </c>
      <c r="D12" s="113">
        <v>1</v>
      </c>
      <c r="E12" s="113">
        <v>1</v>
      </c>
      <c r="F12" s="113">
        <v>1</v>
      </c>
      <c r="G12" s="113">
        <v>1</v>
      </c>
    </row>
    <row r="13" spans="1:7" x14ac:dyDescent="0.15">
      <c r="B13" s="9" t="s">
        <v>52</v>
      </c>
      <c r="C13" s="113">
        <v>1</v>
      </c>
      <c r="D13" s="113">
        <v>1</v>
      </c>
      <c r="E13" s="113">
        <v>0.77</v>
      </c>
      <c r="F13" s="113">
        <v>0.77</v>
      </c>
      <c r="G13" s="113">
        <v>1</v>
      </c>
    </row>
    <row r="14" spans="1:7" x14ac:dyDescent="0.15">
      <c r="B14" s="9" t="s">
        <v>120</v>
      </c>
      <c r="C14" s="113">
        <v>1</v>
      </c>
      <c r="D14" s="113">
        <v>1</v>
      </c>
      <c r="E14" s="113">
        <v>0.89</v>
      </c>
      <c r="F14" s="113">
        <v>0.89</v>
      </c>
      <c r="G14" s="113">
        <v>1</v>
      </c>
    </row>
    <row r="15" spans="1:7" x14ac:dyDescent="0.15">
      <c r="B15" s="9" t="s">
        <v>72</v>
      </c>
      <c r="C15" s="113">
        <v>1</v>
      </c>
      <c r="D15" s="113">
        <v>1</v>
      </c>
      <c r="E15" s="113">
        <v>0.89</v>
      </c>
      <c r="F15" s="113">
        <v>0.89</v>
      </c>
      <c r="G15" s="113">
        <v>1</v>
      </c>
    </row>
    <row r="16" spans="1:7" x14ac:dyDescent="0.15">
      <c r="B16" s="9" t="s">
        <v>129</v>
      </c>
      <c r="C16" s="113">
        <v>1</v>
      </c>
      <c r="D16" s="113">
        <v>1</v>
      </c>
      <c r="E16" s="113">
        <v>0.89</v>
      </c>
      <c r="F16" s="113">
        <v>0.89</v>
      </c>
      <c r="G16" s="113">
        <v>1</v>
      </c>
    </row>
    <row r="18" spans="1:7" x14ac:dyDescent="0.15">
      <c r="A18" s="7" t="s">
        <v>142</v>
      </c>
      <c r="B18" s="4" t="s">
        <v>206</v>
      </c>
      <c r="C18" s="114">
        <v>1.024</v>
      </c>
      <c r="D18" s="114">
        <v>1.024</v>
      </c>
      <c r="E18" s="114">
        <v>1.024</v>
      </c>
      <c r="F18" s="114">
        <v>1.024</v>
      </c>
      <c r="G18" s="114">
        <v>1.024</v>
      </c>
    </row>
    <row r="20" spans="1:7" x14ac:dyDescent="0.15">
      <c r="A20" s="7" t="s">
        <v>143</v>
      </c>
      <c r="B20" s="4" t="s">
        <v>206</v>
      </c>
      <c r="C20" s="114">
        <v>1.024</v>
      </c>
      <c r="D20" s="114">
        <v>1.024</v>
      </c>
      <c r="E20" s="114">
        <v>1.024</v>
      </c>
      <c r="F20" s="114">
        <v>1.024</v>
      </c>
      <c r="G20" s="114">
        <v>1.024</v>
      </c>
    </row>
    <row r="22" spans="1:7" x14ac:dyDescent="0.15">
      <c r="A22" s="7" t="s">
        <v>211</v>
      </c>
      <c r="B22" t="s">
        <v>209</v>
      </c>
      <c r="C22" s="33">
        <v>1</v>
      </c>
      <c r="D22" s="33">
        <v>1</v>
      </c>
      <c r="E22" s="33">
        <v>1</v>
      </c>
      <c r="F22" s="33">
        <v>1</v>
      </c>
      <c r="G22" s="33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 tint="0.39997558519241921"/>
  </sheetPr>
  <dimension ref="A1:F15"/>
  <sheetViews>
    <sheetView workbookViewId="0">
      <selection activeCell="D18" sqref="D18"/>
    </sheetView>
    <sheetView workbookViewId="1"/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196</v>
      </c>
      <c r="B1" s="7" t="s">
        <v>48</v>
      </c>
      <c r="C1" s="7" t="s">
        <v>17</v>
      </c>
      <c r="D1" s="7" t="s">
        <v>20</v>
      </c>
      <c r="E1" s="7" t="s">
        <v>19</v>
      </c>
      <c r="F1" s="1" t="s">
        <v>42</v>
      </c>
    </row>
    <row r="2" spans="1:6" ht="15.75" customHeight="1" x14ac:dyDescent="0.15">
      <c r="A2" t="s">
        <v>53</v>
      </c>
      <c r="B2" t="s">
        <v>49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15">
      <c r="B3" t="s">
        <v>51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15">
      <c r="A4" t="s">
        <v>128</v>
      </c>
      <c r="B4" t="s">
        <v>49</v>
      </c>
      <c r="C4" s="115">
        <v>0.23</v>
      </c>
      <c r="D4" s="115">
        <v>0.23</v>
      </c>
      <c r="E4" s="115">
        <v>0</v>
      </c>
      <c r="F4" s="115">
        <v>0</v>
      </c>
    </row>
    <row r="5" spans="1:6" ht="15.75" customHeight="1" x14ac:dyDescent="0.15">
      <c r="B5" t="s">
        <v>51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15">
      <c r="A6" t="s">
        <v>131</v>
      </c>
      <c r="B6" t="s">
        <v>49</v>
      </c>
      <c r="C6" s="115">
        <v>0.23</v>
      </c>
      <c r="D6" s="115">
        <v>0.23</v>
      </c>
      <c r="E6" s="115">
        <v>0</v>
      </c>
      <c r="F6" s="115">
        <v>0</v>
      </c>
    </row>
    <row r="7" spans="1:6" ht="15.75" customHeight="1" x14ac:dyDescent="0.15">
      <c r="B7" t="s">
        <v>51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15">
      <c r="A8" t="s">
        <v>74</v>
      </c>
      <c r="B8" t="s">
        <v>49</v>
      </c>
      <c r="C8" s="116">
        <v>0.15</v>
      </c>
      <c r="D8" s="116">
        <v>0.15</v>
      </c>
      <c r="E8" s="115">
        <v>0</v>
      </c>
      <c r="F8" s="115">
        <v>0</v>
      </c>
    </row>
    <row r="9" spans="1:6" ht="15.75" customHeight="1" x14ac:dyDescent="0.15">
      <c r="B9" t="s">
        <v>51</v>
      </c>
      <c r="C9" s="116">
        <v>1</v>
      </c>
      <c r="D9" s="116">
        <v>1</v>
      </c>
      <c r="E9" s="115">
        <v>1</v>
      </c>
      <c r="F9" s="115">
        <v>1</v>
      </c>
    </row>
    <row r="10" spans="1:6" ht="15.75" customHeight="1" x14ac:dyDescent="0.15">
      <c r="A10" t="s">
        <v>132</v>
      </c>
      <c r="B10" t="s">
        <v>49</v>
      </c>
      <c r="C10" s="116">
        <v>0.15</v>
      </c>
      <c r="D10" s="116">
        <v>0.15</v>
      </c>
      <c r="E10" s="115">
        <v>0</v>
      </c>
      <c r="F10" s="115">
        <v>0</v>
      </c>
    </row>
    <row r="11" spans="1:6" ht="15.75" customHeight="1" x14ac:dyDescent="0.15">
      <c r="B11" t="s">
        <v>51</v>
      </c>
      <c r="C11" s="116">
        <v>1</v>
      </c>
      <c r="D11" s="116">
        <v>1</v>
      </c>
      <c r="E11" s="115">
        <v>1</v>
      </c>
      <c r="F11" s="115">
        <v>1</v>
      </c>
    </row>
    <row r="12" spans="1:6" ht="15.75" customHeight="1" x14ac:dyDescent="0.15">
      <c r="A12" t="s">
        <v>112</v>
      </c>
      <c r="B12" t="s">
        <v>49</v>
      </c>
      <c r="C12" s="116">
        <v>0.35</v>
      </c>
      <c r="D12" s="116">
        <v>0.35</v>
      </c>
      <c r="E12" s="116">
        <v>0</v>
      </c>
      <c r="F12" s="116">
        <v>0</v>
      </c>
    </row>
    <row r="13" spans="1:6" ht="15.75" customHeight="1" x14ac:dyDescent="0.15">
      <c r="B13" t="s">
        <v>51</v>
      </c>
      <c r="C13" s="114">
        <v>1</v>
      </c>
      <c r="D13" s="114">
        <v>1</v>
      </c>
      <c r="E13" s="116">
        <v>0</v>
      </c>
      <c r="F13" s="116">
        <v>0</v>
      </c>
    </row>
    <row r="14" spans="1:6" ht="15.75" customHeight="1" x14ac:dyDescent="0.15">
      <c r="A14" s="4" t="s">
        <v>75</v>
      </c>
      <c r="B14" t="s">
        <v>49</v>
      </c>
      <c r="C14" s="116">
        <v>0.35</v>
      </c>
      <c r="D14" s="116">
        <v>0.35</v>
      </c>
      <c r="E14" s="116">
        <v>0</v>
      </c>
      <c r="F14" s="116">
        <v>0</v>
      </c>
    </row>
    <row r="15" spans="1:6" ht="15.75" customHeight="1" x14ac:dyDescent="0.15">
      <c r="B15" t="s">
        <v>51</v>
      </c>
      <c r="C15" s="114">
        <v>1</v>
      </c>
      <c r="D15" s="114">
        <v>1</v>
      </c>
      <c r="E15" s="116">
        <v>0</v>
      </c>
      <c r="F15" s="11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 tint="0.39997558519241921"/>
  </sheetPr>
  <dimension ref="A1:O40"/>
  <sheetViews>
    <sheetView workbookViewId="0">
      <selection activeCell="G38" sqref="G38"/>
    </sheetView>
    <sheetView workbookViewId="1"/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7" t="s">
        <v>48</v>
      </c>
      <c r="B1" s="7" t="s">
        <v>196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104</v>
      </c>
      <c r="I1" s="7" t="s">
        <v>105</v>
      </c>
      <c r="J1" s="7" t="s">
        <v>106</v>
      </c>
      <c r="K1" s="7" t="s">
        <v>107</v>
      </c>
      <c r="L1" s="7" t="s">
        <v>108</v>
      </c>
      <c r="M1" s="7" t="s">
        <v>109</v>
      </c>
      <c r="N1" s="7" t="s">
        <v>110</v>
      </c>
      <c r="O1" s="7" t="s">
        <v>111</v>
      </c>
    </row>
    <row r="2" spans="1:15" x14ac:dyDescent="0.15">
      <c r="A2" s="7" t="s">
        <v>194</v>
      </c>
      <c r="B2" s="9" t="s">
        <v>74</v>
      </c>
      <c r="C2" s="114">
        <v>1</v>
      </c>
      <c r="D2" s="114">
        <v>1</v>
      </c>
      <c r="E2" s="123">
        <v>1</v>
      </c>
      <c r="F2" s="123">
        <v>1</v>
      </c>
      <c r="G2" s="123">
        <v>1</v>
      </c>
      <c r="H2" s="123">
        <v>1</v>
      </c>
      <c r="I2" s="123">
        <v>1</v>
      </c>
      <c r="J2" s="123">
        <v>1</v>
      </c>
      <c r="K2" s="123">
        <v>1</v>
      </c>
      <c r="L2" s="114">
        <v>0.33</v>
      </c>
      <c r="M2" s="114">
        <v>0.33</v>
      </c>
      <c r="N2" s="114">
        <v>0.33</v>
      </c>
      <c r="O2" s="114">
        <v>0.33</v>
      </c>
    </row>
    <row r="3" spans="1:15" x14ac:dyDescent="0.15">
      <c r="B3" s="9" t="s">
        <v>132</v>
      </c>
      <c r="C3" s="114">
        <v>1</v>
      </c>
      <c r="D3" s="114">
        <v>1</v>
      </c>
      <c r="E3" s="123">
        <v>1</v>
      </c>
      <c r="F3" s="123">
        <v>1</v>
      </c>
      <c r="G3" s="123">
        <v>1</v>
      </c>
      <c r="H3" s="123">
        <v>1</v>
      </c>
      <c r="I3" s="123">
        <v>1</v>
      </c>
      <c r="J3" s="123">
        <v>1</v>
      </c>
      <c r="K3" s="123">
        <v>1</v>
      </c>
      <c r="L3" s="114">
        <v>0.33</v>
      </c>
      <c r="M3" s="114">
        <v>0.33</v>
      </c>
      <c r="N3" s="114">
        <v>0.33</v>
      </c>
      <c r="O3" s="114">
        <v>0.33</v>
      </c>
    </row>
    <row r="4" spans="1:15" x14ac:dyDescent="0.15">
      <c r="B4" t="s">
        <v>128</v>
      </c>
      <c r="C4" s="114">
        <v>1</v>
      </c>
      <c r="D4" s="114">
        <v>1</v>
      </c>
      <c r="E4" s="114">
        <v>1</v>
      </c>
      <c r="F4" s="114">
        <v>1</v>
      </c>
      <c r="G4" s="114">
        <v>1</v>
      </c>
      <c r="H4" s="114">
        <v>1</v>
      </c>
      <c r="I4" s="114">
        <v>1</v>
      </c>
      <c r="J4" s="114">
        <v>1</v>
      </c>
      <c r="K4" s="114">
        <v>1</v>
      </c>
      <c r="L4" s="114">
        <v>0.33</v>
      </c>
      <c r="M4" s="114">
        <v>0.33</v>
      </c>
      <c r="N4" s="114">
        <v>0.33</v>
      </c>
      <c r="O4" s="114">
        <v>0.33</v>
      </c>
    </row>
    <row r="5" spans="1:15" x14ac:dyDescent="0.15">
      <c r="B5" t="s">
        <v>131</v>
      </c>
      <c r="C5" s="114">
        <v>1</v>
      </c>
      <c r="D5" s="114">
        <v>1</v>
      </c>
      <c r="E5" s="114">
        <v>1</v>
      </c>
      <c r="F5" s="114">
        <v>1</v>
      </c>
      <c r="G5" s="114">
        <v>1</v>
      </c>
      <c r="H5" s="114">
        <v>1</v>
      </c>
      <c r="I5" s="114">
        <v>1</v>
      </c>
      <c r="J5" s="114">
        <v>1</v>
      </c>
      <c r="K5" s="114">
        <v>1</v>
      </c>
      <c r="L5" s="114">
        <v>0.33</v>
      </c>
      <c r="M5" s="114">
        <v>0.33</v>
      </c>
      <c r="N5" s="114">
        <v>0.33</v>
      </c>
      <c r="O5" s="114">
        <v>0.33</v>
      </c>
    </row>
    <row r="6" spans="1:15" x14ac:dyDescent="0.15">
      <c r="B6" t="s">
        <v>112</v>
      </c>
      <c r="C6" s="114">
        <v>1</v>
      </c>
      <c r="D6" s="114">
        <v>1</v>
      </c>
      <c r="E6" s="114">
        <v>1</v>
      </c>
      <c r="F6" s="114">
        <v>1</v>
      </c>
      <c r="G6" s="114">
        <v>1</v>
      </c>
      <c r="H6" s="114">
        <v>1</v>
      </c>
      <c r="I6" s="114">
        <v>1</v>
      </c>
      <c r="J6" s="114">
        <v>1</v>
      </c>
      <c r="K6" s="114">
        <v>1</v>
      </c>
      <c r="L6" s="114">
        <v>0.83</v>
      </c>
      <c r="M6" s="114">
        <v>0.83</v>
      </c>
      <c r="N6" s="114">
        <v>0.83</v>
      </c>
      <c r="O6" s="114">
        <v>0.83</v>
      </c>
    </row>
    <row r="7" spans="1:15" x14ac:dyDescent="0.15">
      <c r="B7" t="s">
        <v>113</v>
      </c>
      <c r="C7" s="114">
        <v>1</v>
      </c>
      <c r="D7" s="114">
        <v>1</v>
      </c>
      <c r="E7" s="114">
        <v>1</v>
      </c>
      <c r="F7" s="114">
        <v>1</v>
      </c>
      <c r="G7" s="114">
        <v>1</v>
      </c>
      <c r="H7" s="114">
        <v>0.73</v>
      </c>
      <c r="I7" s="114">
        <v>0.73</v>
      </c>
      <c r="J7" s="114">
        <v>0.73</v>
      </c>
      <c r="K7" s="114">
        <v>0.73</v>
      </c>
      <c r="L7" s="114">
        <v>1</v>
      </c>
      <c r="M7" s="114">
        <v>1</v>
      </c>
      <c r="N7" s="114">
        <v>1</v>
      </c>
      <c r="O7" s="114">
        <v>1</v>
      </c>
    </row>
    <row r="8" spans="1:15" x14ac:dyDescent="0.15">
      <c r="B8" t="s">
        <v>114</v>
      </c>
      <c r="C8" s="114">
        <v>1</v>
      </c>
      <c r="D8" s="114">
        <v>1</v>
      </c>
      <c r="E8" s="114">
        <v>1</v>
      </c>
      <c r="F8" s="114">
        <v>1</v>
      </c>
      <c r="G8" s="114">
        <v>1</v>
      </c>
      <c r="H8" s="114">
        <v>0.73</v>
      </c>
      <c r="I8" s="114">
        <v>0.73</v>
      </c>
      <c r="J8" s="114">
        <v>0.73</v>
      </c>
      <c r="K8" s="114">
        <v>0.73</v>
      </c>
      <c r="L8" s="114">
        <v>1</v>
      </c>
      <c r="M8" s="114">
        <v>1</v>
      </c>
      <c r="N8" s="114">
        <v>1</v>
      </c>
      <c r="O8" s="114">
        <v>1</v>
      </c>
    </row>
    <row r="9" spans="1:15" x14ac:dyDescent="0.15">
      <c r="B9" t="s">
        <v>115</v>
      </c>
      <c r="C9" s="114">
        <v>1</v>
      </c>
      <c r="D9" s="114">
        <v>1</v>
      </c>
      <c r="E9" s="114">
        <v>1</v>
      </c>
      <c r="F9" s="114">
        <v>1</v>
      </c>
      <c r="G9" s="114">
        <v>1</v>
      </c>
      <c r="H9" s="114">
        <v>0.73</v>
      </c>
      <c r="I9" s="114">
        <v>0.73</v>
      </c>
      <c r="J9" s="114">
        <v>0.73</v>
      </c>
      <c r="K9" s="114">
        <v>0.73</v>
      </c>
      <c r="L9" s="114">
        <v>1</v>
      </c>
      <c r="M9" s="114">
        <v>1</v>
      </c>
      <c r="N9" s="114">
        <v>1</v>
      </c>
      <c r="O9" s="114">
        <v>1</v>
      </c>
    </row>
    <row r="10" spans="1:15" x14ac:dyDescent="0.15">
      <c r="B10" t="s">
        <v>116</v>
      </c>
      <c r="C10" s="114">
        <v>1</v>
      </c>
      <c r="D10" s="114">
        <v>1</v>
      </c>
      <c r="E10" s="114">
        <v>1</v>
      </c>
      <c r="F10" s="114">
        <v>1</v>
      </c>
      <c r="G10" s="114">
        <v>1</v>
      </c>
      <c r="H10" s="114">
        <v>0.73</v>
      </c>
      <c r="I10" s="114">
        <v>0.73</v>
      </c>
      <c r="J10" s="114">
        <v>0.73</v>
      </c>
      <c r="K10" s="114">
        <v>0.73</v>
      </c>
      <c r="L10" s="114">
        <v>1</v>
      </c>
      <c r="M10" s="114">
        <v>1</v>
      </c>
      <c r="N10" s="114">
        <v>1</v>
      </c>
      <c r="O10" s="114">
        <v>1</v>
      </c>
    </row>
    <row r="11" spans="1:15" x14ac:dyDescent="0.15">
      <c r="B11" t="s">
        <v>117</v>
      </c>
      <c r="C11" s="114">
        <v>1</v>
      </c>
      <c r="D11" s="114">
        <v>1</v>
      </c>
      <c r="E11" s="114">
        <v>1</v>
      </c>
      <c r="F11" s="114">
        <v>1</v>
      </c>
      <c r="G11" s="114">
        <v>1</v>
      </c>
      <c r="H11" s="114">
        <v>0.73</v>
      </c>
      <c r="I11" s="114">
        <v>0.73</v>
      </c>
      <c r="J11" s="114">
        <v>0.73</v>
      </c>
      <c r="K11" s="114">
        <v>0.73</v>
      </c>
      <c r="L11" s="114">
        <v>1</v>
      </c>
      <c r="M11" s="114">
        <v>1</v>
      </c>
      <c r="N11" s="114">
        <v>1</v>
      </c>
      <c r="O11" s="114">
        <v>1</v>
      </c>
    </row>
    <row r="12" spans="1:15" x14ac:dyDescent="0.15">
      <c r="B12" t="s">
        <v>118</v>
      </c>
      <c r="C12" s="114">
        <v>1</v>
      </c>
      <c r="D12" s="114">
        <v>1</v>
      </c>
      <c r="E12" s="114">
        <v>1</v>
      </c>
      <c r="F12" s="114">
        <v>1</v>
      </c>
      <c r="G12" s="114">
        <v>1</v>
      </c>
      <c r="H12" s="114">
        <v>0.73</v>
      </c>
      <c r="I12" s="114">
        <v>0.73</v>
      </c>
      <c r="J12" s="114">
        <v>0.73</v>
      </c>
      <c r="K12" s="114">
        <v>0.73</v>
      </c>
      <c r="L12" s="114">
        <v>1</v>
      </c>
      <c r="M12" s="114">
        <v>1</v>
      </c>
      <c r="N12" s="114">
        <v>1</v>
      </c>
      <c r="O12" s="114">
        <v>1</v>
      </c>
    </row>
    <row r="13" spans="1:15" x14ac:dyDescent="0.15">
      <c r="B13" t="s">
        <v>119</v>
      </c>
      <c r="C13" s="114">
        <v>1</v>
      </c>
      <c r="D13" s="114">
        <v>1</v>
      </c>
      <c r="E13" s="114">
        <v>1</v>
      </c>
      <c r="F13" s="114">
        <v>1</v>
      </c>
      <c r="G13" s="114">
        <v>1</v>
      </c>
      <c r="H13" s="114">
        <v>0.73</v>
      </c>
      <c r="I13" s="114">
        <v>0.73</v>
      </c>
      <c r="J13" s="114">
        <v>0.73</v>
      </c>
      <c r="K13" s="114">
        <v>0.73</v>
      </c>
      <c r="L13" s="114">
        <v>1</v>
      </c>
      <c r="M13" s="114">
        <v>1</v>
      </c>
      <c r="N13" s="114">
        <v>1</v>
      </c>
      <c r="O13" s="114">
        <v>1</v>
      </c>
    </row>
    <row r="14" spans="1:15" x14ac:dyDescent="0.15">
      <c r="B14" t="s">
        <v>121</v>
      </c>
      <c r="C14" s="114">
        <v>1</v>
      </c>
      <c r="D14" s="114">
        <v>1</v>
      </c>
      <c r="E14" s="114">
        <v>1</v>
      </c>
      <c r="F14" s="114">
        <v>1</v>
      </c>
      <c r="G14" s="114">
        <v>1</v>
      </c>
      <c r="H14" s="114">
        <v>0.73</v>
      </c>
      <c r="I14" s="114">
        <v>0.73</v>
      </c>
      <c r="J14" s="114">
        <v>0.73</v>
      </c>
      <c r="K14" s="114">
        <v>0.73</v>
      </c>
      <c r="L14" s="114">
        <v>1</v>
      </c>
      <c r="M14" s="114">
        <v>1</v>
      </c>
      <c r="N14" s="114">
        <v>1</v>
      </c>
      <c r="O14" s="114">
        <v>1</v>
      </c>
    </row>
    <row r="15" spans="1:15" x14ac:dyDescent="0.15">
      <c r="B15" t="s">
        <v>122</v>
      </c>
      <c r="C15" s="114">
        <v>1</v>
      </c>
      <c r="D15" s="114">
        <v>1</v>
      </c>
      <c r="E15" s="114">
        <v>1</v>
      </c>
      <c r="F15" s="114">
        <v>1</v>
      </c>
      <c r="G15" s="114">
        <v>1</v>
      </c>
      <c r="H15" s="114">
        <v>0.73</v>
      </c>
      <c r="I15" s="114">
        <v>0.73</v>
      </c>
      <c r="J15" s="114">
        <v>0.73</v>
      </c>
      <c r="K15" s="114">
        <v>0.73</v>
      </c>
      <c r="L15" s="114">
        <v>1</v>
      </c>
      <c r="M15" s="114">
        <v>1</v>
      </c>
      <c r="N15" s="114">
        <v>1</v>
      </c>
      <c r="O15" s="114">
        <v>1</v>
      </c>
    </row>
    <row r="16" spans="1:15" x14ac:dyDescent="0.15">
      <c r="B16" t="s">
        <v>123</v>
      </c>
      <c r="C16" s="114">
        <v>1</v>
      </c>
      <c r="D16" s="114">
        <v>1</v>
      </c>
      <c r="E16" s="114">
        <v>1</v>
      </c>
      <c r="F16" s="114">
        <v>1</v>
      </c>
      <c r="G16" s="114">
        <v>1</v>
      </c>
      <c r="H16" s="114">
        <v>0.73</v>
      </c>
      <c r="I16" s="114">
        <v>0.73</v>
      </c>
      <c r="J16" s="114">
        <v>0.73</v>
      </c>
      <c r="K16" s="114">
        <v>0.73</v>
      </c>
      <c r="L16" s="114">
        <v>1</v>
      </c>
      <c r="M16" s="114">
        <v>1</v>
      </c>
      <c r="N16" s="114">
        <v>1</v>
      </c>
      <c r="O16" s="114">
        <v>1</v>
      </c>
    </row>
    <row r="17" spans="1:15" x14ac:dyDescent="0.15">
      <c r="B17" t="s">
        <v>124</v>
      </c>
      <c r="C17" s="114">
        <v>1</v>
      </c>
      <c r="D17" s="114">
        <v>1</v>
      </c>
      <c r="E17" s="114">
        <v>1</v>
      </c>
      <c r="F17" s="114">
        <v>1</v>
      </c>
      <c r="G17" s="114">
        <v>1</v>
      </c>
      <c r="H17" s="114">
        <v>0.73</v>
      </c>
      <c r="I17" s="114">
        <v>0.73</v>
      </c>
      <c r="J17" s="114">
        <v>0.73</v>
      </c>
      <c r="K17" s="114">
        <v>0.73</v>
      </c>
      <c r="L17" s="114">
        <v>1</v>
      </c>
      <c r="M17" s="114">
        <v>1</v>
      </c>
      <c r="N17" s="114">
        <v>1</v>
      </c>
      <c r="O17" s="114">
        <v>1</v>
      </c>
    </row>
    <row r="18" spans="1:15" x14ac:dyDescent="0.15">
      <c r="B18" t="s">
        <v>125</v>
      </c>
      <c r="C18" s="114">
        <v>1</v>
      </c>
      <c r="D18" s="114">
        <v>1</v>
      </c>
      <c r="E18" s="114">
        <v>1</v>
      </c>
      <c r="F18" s="114">
        <v>1</v>
      </c>
      <c r="G18" s="114">
        <v>1</v>
      </c>
      <c r="H18" s="114">
        <v>0.73</v>
      </c>
      <c r="I18" s="114">
        <v>0.73</v>
      </c>
      <c r="J18" s="114">
        <v>0.73</v>
      </c>
      <c r="K18" s="114">
        <v>0.73</v>
      </c>
      <c r="L18" s="114">
        <v>1</v>
      </c>
      <c r="M18" s="114">
        <v>1</v>
      </c>
      <c r="N18" s="114">
        <v>1</v>
      </c>
      <c r="O18" s="114">
        <v>1</v>
      </c>
    </row>
    <row r="19" spans="1:15" x14ac:dyDescent="0.15">
      <c r="B19" t="s">
        <v>126</v>
      </c>
      <c r="C19" s="114">
        <v>1</v>
      </c>
      <c r="D19" s="114">
        <v>1</v>
      </c>
      <c r="E19" s="114">
        <v>1</v>
      </c>
      <c r="F19" s="114">
        <v>1</v>
      </c>
      <c r="G19" s="114">
        <v>1</v>
      </c>
      <c r="H19" s="114">
        <v>0.73</v>
      </c>
      <c r="I19" s="114">
        <v>0.73</v>
      </c>
      <c r="J19" s="114">
        <v>0.73</v>
      </c>
      <c r="K19" s="114">
        <v>0.73</v>
      </c>
      <c r="L19" s="114">
        <v>1</v>
      </c>
      <c r="M19" s="114">
        <v>1</v>
      </c>
      <c r="N19" s="114">
        <v>1</v>
      </c>
      <c r="O19" s="114">
        <v>1</v>
      </c>
    </row>
    <row r="20" spans="1:15" x14ac:dyDescent="0.15">
      <c r="B20" t="s">
        <v>127</v>
      </c>
      <c r="C20" s="114">
        <v>1</v>
      </c>
      <c r="D20" s="114">
        <v>1</v>
      </c>
      <c r="E20" s="114">
        <v>1</v>
      </c>
      <c r="F20" s="114">
        <v>1</v>
      </c>
      <c r="G20" s="114">
        <v>1</v>
      </c>
      <c r="H20" s="114">
        <v>0.73</v>
      </c>
      <c r="I20" s="114">
        <v>0.73</v>
      </c>
      <c r="J20" s="114">
        <v>0.73</v>
      </c>
      <c r="K20" s="114">
        <v>0.73</v>
      </c>
      <c r="L20" s="114">
        <v>1</v>
      </c>
      <c r="M20" s="114">
        <v>1</v>
      </c>
      <c r="N20" s="114">
        <v>1</v>
      </c>
      <c r="O20" s="114">
        <v>1</v>
      </c>
    </row>
    <row r="21" spans="1:15" x14ac:dyDescent="0.15">
      <c r="B21" s="4" t="s">
        <v>72</v>
      </c>
      <c r="C21" s="114">
        <v>1</v>
      </c>
      <c r="D21" s="114">
        <v>1</v>
      </c>
      <c r="E21" s="114">
        <v>0.69</v>
      </c>
      <c r="F21" s="114">
        <v>0.69</v>
      </c>
      <c r="G21" s="114">
        <v>1</v>
      </c>
      <c r="H21" s="114">
        <v>1</v>
      </c>
      <c r="I21" s="114">
        <v>1</v>
      </c>
      <c r="J21" s="114">
        <v>1</v>
      </c>
      <c r="K21" s="114">
        <v>1</v>
      </c>
      <c r="L21" s="114">
        <v>1</v>
      </c>
      <c r="M21" s="114">
        <v>1</v>
      </c>
      <c r="N21" s="114">
        <v>1</v>
      </c>
      <c r="O21" s="114">
        <v>1</v>
      </c>
    </row>
    <row r="22" spans="1:15" ht="14" customHeight="1" x14ac:dyDescent="0.15">
      <c r="B22" s="4" t="s">
        <v>129</v>
      </c>
      <c r="C22" s="114">
        <v>1</v>
      </c>
      <c r="D22" s="114">
        <v>1</v>
      </c>
      <c r="E22" s="114">
        <v>0.69</v>
      </c>
      <c r="F22" s="114">
        <v>0.69</v>
      </c>
      <c r="G22" s="114">
        <v>1</v>
      </c>
      <c r="H22" s="114">
        <v>1</v>
      </c>
      <c r="I22" s="114">
        <v>1</v>
      </c>
      <c r="J22" s="114">
        <v>1</v>
      </c>
      <c r="K22" s="114">
        <v>1</v>
      </c>
      <c r="L22" s="114">
        <v>1</v>
      </c>
      <c r="M22" s="114">
        <v>1</v>
      </c>
      <c r="N22" s="114">
        <v>1</v>
      </c>
      <c r="O22" s="114">
        <v>1</v>
      </c>
    </row>
    <row r="23" spans="1:15" x14ac:dyDescent="0.15">
      <c r="B23" s="8" t="s">
        <v>71</v>
      </c>
      <c r="C23" s="114">
        <v>1</v>
      </c>
      <c r="D23" s="114">
        <v>1</v>
      </c>
      <c r="E23" s="114">
        <v>0.69</v>
      </c>
      <c r="F23" s="114">
        <v>0.69</v>
      </c>
      <c r="G23" s="114">
        <v>0.69</v>
      </c>
      <c r="H23" s="114">
        <v>1</v>
      </c>
      <c r="I23" s="114">
        <v>1</v>
      </c>
      <c r="J23" s="114">
        <v>1</v>
      </c>
      <c r="K23" s="114">
        <v>1</v>
      </c>
      <c r="L23" s="114">
        <v>1</v>
      </c>
      <c r="M23" s="114">
        <v>1</v>
      </c>
      <c r="N23" s="114">
        <v>1</v>
      </c>
      <c r="O23" s="114">
        <v>1</v>
      </c>
    </row>
    <row r="24" spans="1:15" x14ac:dyDescent="0.15">
      <c r="B24" s="8" t="s">
        <v>130</v>
      </c>
      <c r="C24" s="114">
        <v>1</v>
      </c>
      <c r="D24" s="114">
        <v>1</v>
      </c>
      <c r="E24" s="114">
        <v>0.69</v>
      </c>
      <c r="F24" s="114">
        <v>0.69</v>
      </c>
      <c r="G24" s="114">
        <v>0.69</v>
      </c>
      <c r="H24" s="114">
        <v>1</v>
      </c>
      <c r="I24" s="114">
        <v>1</v>
      </c>
      <c r="J24" s="114">
        <v>1</v>
      </c>
      <c r="K24" s="114">
        <v>1</v>
      </c>
      <c r="L24" s="114">
        <v>1</v>
      </c>
      <c r="M24" s="114">
        <v>1</v>
      </c>
      <c r="N24" s="114">
        <v>1</v>
      </c>
      <c r="O24" s="114">
        <v>1</v>
      </c>
    </row>
    <row r="25" spans="1:15" x14ac:dyDescent="0.15">
      <c r="B25" s="8" t="s">
        <v>75</v>
      </c>
      <c r="C25" s="114">
        <v>0.83</v>
      </c>
      <c r="D25" s="114">
        <v>0.83</v>
      </c>
      <c r="E25" s="114">
        <v>0.83</v>
      </c>
      <c r="F25" s="114">
        <v>0.83</v>
      </c>
      <c r="G25" s="114">
        <v>0.83</v>
      </c>
      <c r="H25" s="114">
        <v>0.83</v>
      </c>
      <c r="I25" s="114">
        <v>0.83</v>
      </c>
      <c r="J25" s="114">
        <v>0.83</v>
      </c>
      <c r="K25" s="114">
        <v>0.83</v>
      </c>
      <c r="L25" s="114">
        <v>0.83</v>
      </c>
      <c r="M25" s="114">
        <v>0.83</v>
      </c>
      <c r="N25" s="114">
        <v>0.83</v>
      </c>
      <c r="O25" s="114">
        <v>0.83</v>
      </c>
    </row>
    <row r="27" spans="1:15" x14ac:dyDescent="0.15">
      <c r="A27" s="7" t="s">
        <v>195</v>
      </c>
      <c r="B27" s="4" t="s">
        <v>91</v>
      </c>
      <c r="C27" s="114">
        <v>1</v>
      </c>
      <c r="D27" s="114">
        <v>1</v>
      </c>
      <c r="E27" s="31">
        <v>0.9</v>
      </c>
      <c r="F27" s="31">
        <v>0.9</v>
      </c>
      <c r="G27" s="31">
        <v>0.9</v>
      </c>
      <c r="H27" s="31">
        <v>0.9</v>
      </c>
      <c r="I27" s="31">
        <v>0.9</v>
      </c>
      <c r="J27" s="31">
        <v>0.9</v>
      </c>
      <c r="K27" s="31">
        <v>0.9</v>
      </c>
      <c r="L27" s="31">
        <v>0.9</v>
      </c>
      <c r="M27" s="31">
        <v>0.9</v>
      </c>
      <c r="N27" s="31">
        <v>0.9</v>
      </c>
      <c r="O27" s="31">
        <v>0.9</v>
      </c>
    </row>
    <row r="28" spans="1:15" x14ac:dyDescent="0.15">
      <c r="B28" s="9" t="s">
        <v>137</v>
      </c>
      <c r="C28" s="114">
        <v>1</v>
      </c>
      <c r="D28" s="114">
        <v>1</v>
      </c>
      <c r="E28" s="124">
        <v>0.97599999999999998</v>
      </c>
      <c r="F28" s="124">
        <v>0.97599999999999998</v>
      </c>
      <c r="G28" s="124">
        <v>0.97599999999999998</v>
      </c>
      <c r="H28" s="124">
        <v>0.97599999999999998</v>
      </c>
      <c r="I28" s="124">
        <v>0.97599999999999998</v>
      </c>
      <c r="J28" s="124">
        <v>0.97599999999999998</v>
      </c>
      <c r="K28" s="124">
        <v>0.97599999999999998</v>
      </c>
      <c r="L28" s="124">
        <v>0.97599999999999998</v>
      </c>
      <c r="M28" s="124">
        <v>0.97599999999999998</v>
      </c>
      <c r="N28" s="124">
        <v>0.97599999999999998</v>
      </c>
      <c r="O28" s="124">
        <v>0.97599999999999998</v>
      </c>
    </row>
    <row r="29" spans="1:15" x14ac:dyDescent="0.15">
      <c r="B29" s="9" t="s">
        <v>138</v>
      </c>
      <c r="C29" s="114">
        <v>1</v>
      </c>
      <c r="D29" s="114">
        <v>1</v>
      </c>
      <c r="E29" s="124">
        <v>0.97599999999999998</v>
      </c>
      <c r="F29" s="124">
        <v>0.97599999999999998</v>
      </c>
      <c r="G29" s="124">
        <v>0.97599999999999998</v>
      </c>
      <c r="H29" s="124">
        <v>0.97599999999999998</v>
      </c>
      <c r="I29" s="124">
        <v>0.97599999999999998</v>
      </c>
      <c r="J29" s="124">
        <v>0.97599999999999998</v>
      </c>
      <c r="K29" s="124">
        <v>0.97599999999999998</v>
      </c>
      <c r="L29" s="124">
        <v>0.97599999999999998</v>
      </c>
      <c r="M29" s="124">
        <v>0.97599999999999998</v>
      </c>
      <c r="N29" s="124">
        <v>0.97599999999999998</v>
      </c>
      <c r="O29" s="124">
        <v>0.97599999999999998</v>
      </c>
    </row>
    <row r="30" spans="1:15" x14ac:dyDescent="0.15">
      <c r="B30" s="9" t="s">
        <v>139</v>
      </c>
      <c r="C30" s="114">
        <v>1</v>
      </c>
      <c r="D30" s="114">
        <v>1</v>
      </c>
      <c r="E30" s="124">
        <v>0.97599999999999998</v>
      </c>
      <c r="F30" s="124">
        <v>0.97599999999999998</v>
      </c>
      <c r="G30" s="124">
        <v>0.97599999999999998</v>
      </c>
      <c r="H30" s="124">
        <v>0.97599999999999998</v>
      </c>
      <c r="I30" s="124">
        <v>0.97599999999999998</v>
      </c>
      <c r="J30" s="124">
        <v>0.97599999999999998</v>
      </c>
      <c r="K30" s="124">
        <v>0.97599999999999998</v>
      </c>
      <c r="L30" s="124">
        <v>0.97599999999999998</v>
      </c>
      <c r="M30" s="124">
        <v>0.97599999999999998</v>
      </c>
      <c r="N30" s="124">
        <v>0.97599999999999998</v>
      </c>
      <c r="O30" s="124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 tint="0.39997558519241921"/>
  </sheetPr>
  <dimension ref="A1:G4"/>
  <sheetViews>
    <sheetView workbookViewId="0">
      <selection activeCell="A5" sqref="A5"/>
    </sheetView>
    <sheetView workbookViewId="1"/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7" t="s">
        <v>48</v>
      </c>
      <c r="B1" s="1" t="s">
        <v>245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</row>
    <row r="2" spans="1:7" x14ac:dyDescent="0.15">
      <c r="A2" s="7" t="s">
        <v>247</v>
      </c>
      <c r="B2" s="33" t="s">
        <v>145</v>
      </c>
      <c r="C2" s="33">
        <v>1</v>
      </c>
      <c r="D2" s="33">
        <v>0.21</v>
      </c>
      <c r="E2" s="33">
        <v>0.21</v>
      </c>
      <c r="F2" s="33">
        <v>0.21</v>
      </c>
      <c r="G2" s="33">
        <v>0.21</v>
      </c>
    </row>
    <row r="4" spans="1:7" x14ac:dyDescent="0.15">
      <c r="A4" s="7" t="s">
        <v>248</v>
      </c>
      <c r="B4" s="34" t="s">
        <v>144</v>
      </c>
      <c r="C4" s="33">
        <v>1</v>
      </c>
      <c r="D4" s="33">
        <v>0.14299999999999999</v>
      </c>
      <c r="E4" s="33">
        <v>0.14299999999999999</v>
      </c>
      <c r="F4" s="33">
        <v>0.14299999999999999</v>
      </c>
      <c r="G4" s="33">
        <v>0.14299999999999999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 tint="0.39997558519241921"/>
  </sheetPr>
  <dimension ref="A1:I52"/>
  <sheetViews>
    <sheetView workbookViewId="0">
      <selection activeCell="B35" sqref="B35"/>
    </sheetView>
    <sheetView workbookViewId="1">
      <selection activeCell="E8" sqref="E8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196</v>
      </c>
      <c r="B1" s="1" t="s">
        <v>5</v>
      </c>
      <c r="C1" s="1" t="s">
        <v>48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</row>
    <row r="2" spans="1:8" x14ac:dyDescent="0.15">
      <c r="A2" s="4" t="s">
        <v>47</v>
      </c>
      <c r="B2" s="4" t="s">
        <v>206</v>
      </c>
      <c r="C2" s="4" t="s">
        <v>96</v>
      </c>
      <c r="D2" s="113">
        <v>0</v>
      </c>
      <c r="E2" s="113">
        <v>0</v>
      </c>
      <c r="F2" s="113">
        <v>0.33500000000000002</v>
      </c>
      <c r="G2" s="133">
        <v>0.33500000000000002</v>
      </c>
      <c r="H2" s="133">
        <v>0.33500000000000002</v>
      </c>
    </row>
    <row r="3" spans="1:8" x14ac:dyDescent="0.15">
      <c r="C3" t="s">
        <v>60</v>
      </c>
      <c r="D3" s="113">
        <v>0</v>
      </c>
      <c r="E3" s="113">
        <v>0</v>
      </c>
      <c r="F3" s="114">
        <f>1-(0.822+0.335-1)/0.335</f>
        <v>0.53134328358208949</v>
      </c>
      <c r="G3" s="114">
        <f t="shared" ref="G3:H3" si="0">1-(0.822+0.335-1)/0.335</f>
        <v>0.53134328358208949</v>
      </c>
      <c r="H3" s="114">
        <f t="shared" si="0"/>
        <v>0.53134328358208949</v>
      </c>
    </row>
    <row r="4" spans="1:8" x14ac:dyDescent="0.15">
      <c r="A4" s="4"/>
      <c r="B4" s="4"/>
      <c r="C4" s="4" t="s">
        <v>61</v>
      </c>
      <c r="D4" s="113">
        <v>0</v>
      </c>
      <c r="E4" s="113">
        <v>0</v>
      </c>
      <c r="F4" s="113">
        <f>1-(0.871+F2-1)/F2</f>
        <v>0.38507462686567184</v>
      </c>
      <c r="G4" s="113">
        <f t="shared" ref="G4:H4" si="1">1-(0.871+G2-1)/G2</f>
        <v>0.38507462686567184</v>
      </c>
      <c r="H4" s="113">
        <f t="shared" si="1"/>
        <v>0.38507462686567184</v>
      </c>
    </row>
    <row r="5" spans="1:8" x14ac:dyDescent="0.15">
      <c r="A5" s="8"/>
      <c r="B5" s="33" t="s">
        <v>209</v>
      </c>
      <c r="C5" s="34" t="s">
        <v>96</v>
      </c>
      <c r="D5" s="34">
        <v>0</v>
      </c>
      <c r="E5" s="34">
        <v>0</v>
      </c>
      <c r="F5" s="34">
        <v>0.33500000000000002</v>
      </c>
      <c r="G5" s="35">
        <v>0.33500000000000002</v>
      </c>
      <c r="H5" s="35">
        <v>0.33500000000000002</v>
      </c>
    </row>
    <row r="6" spans="1:8" x14ac:dyDescent="0.15">
      <c r="A6" s="4" t="s">
        <v>120</v>
      </c>
      <c r="B6" s="4" t="s">
        <v>141</v>
      </c>
      <c r="C6" s="4" t="s">
        <v>96</v>
      </c>
      <c r="D6" s="113">
        <v>0</v>
      </c>
      <c r="E6" s="113">
        <v>0</v>
      </c>
      <c r="F6" s="113">
        <v>0.33500000000000002</v>
      </c>
      <c r="G6" s="133">
        <v>0.33500000000000002</v>
      </c>
      <c r="H6" s="133">
        <v>0.33500000000000002</v>
      </c>
    </row>
    <row r="7" spans="1:8" x14ac:dyDescent="0.15">
      <c r="C7" s="4" t="s">
        <v>61</v>
      </c>
      <c r="D7" s="113">
        <v>0</v>
      </c>
      <c r="E7" s="113">
        <v>0</v>
      </c>
      <c r="F7" s="113">
        <f>1-(0.913+0.335-1)/0.335</f>
        <v>0.25970149253731345</v>
      </c>
      <c r="G7" s="113">
        <f>1-(0.913+0.335-1)/0.335</f>
        <v>0.25970149253731345</v>
      </c>
      <c r="H7" s="113">
        <v>0</v>
      </c>
    </row>
    <row r="8" spans="1:8" x14ac:dyDescent="0.15">
      <c r="B8" t="s">
        <v>140</v>
      </c>
      <c r="C8" s="4" t="s">
        <v>96</v>
      </c>
      <c r="D8" s="113">
        <v>0</v>
      </c>
      <c r="E8" s="113">
        <v>0</v>
      </c>
      <c r="F8" s="113">
        <v>0.33500000000000002</v>
      </c>
      <c r="G8" s="133">
        <v>0.33500000000000002</v>
      </c>
      <c r="H8" s="133">
        <v>0.33500000000000002</v>
      </c>
    </row>
    <row r="9" spans="1:8" x14ac:dyDescent="0.15">
      <c r="C9" s="4" t="s">
        <v>61</v>
      </c>
      <c r="D9" s="113">
        <v>0</v>
      </c>
      <c r="E9" s="113">
        <v>0</v>
      </c>
      <c r="F9" s="113">
        <f>1-(0.913+0.335-1)/0.335</f>
        <v>0.25970149253731345</v>
      </c>
      <c r="G9" s="113">
        <f>1-(0.913+0.335-1)/0.335</f>
        <v>0.25970149253731345</v>
      </c>
      <c r="H9" s="113">
        <v>0</v>
      </c>
    </row>
    <row r="10" spans="1:8" x14ac:dyDescent="0.15">
      <c r="A10" s="4" t="s">
        <v>72</v>
      </c>
      <c r="B10" s="4" t="s">
        <v>141</v>
      </c>
      <c r="C10" s="4" t="s">
        <v>96</v>
      </c>
      <c r="D10" s="113">
        <v>0</v>
      </c>
      <c r="E10" s="113">
        <v>0</v>
      </c>
      <c r="F10" s="113">
        <v>0.33500000000000002</v>
      </c>
      <c r="G10" s="133">
        <v>0.33500000000000002</v>
      </c>
      <c r="H10" s="133">
        <v>0.33500000000000002</v>
      </c>
    </row>
    <row r="11" spans="1:8" x14ac:dyDescent="0.15">
      <c r="C11" s="4" t="s">
        <v>61</v>
      </c>
      <c r="D11" s="113">
        <v>0</v>
      </c>
      <c r="E11" s="113">
        <v>0</v>
      </c>
      <c r="F11" s="113">
        <f>1-(0.913+0.335-1)/0.335</f>
        <v>0.25970149253731345</v>
      </c>
      <c r="G11" s="113">
        <f>1-(0.913+0.335-1)/0.335</f>
        <v>0.25970149253731345</v>
      </c>
      <c r="H11" s="113">
        <v>0</v>
      </c>
    </row>
    <row r="12" spans="1:8" x14ac:dyDescent="0.15">
      <c r="B12" t="s">
        <v>140</v>
      </c>
      <c r="C12" s="4" t="s">
        <v>96</v>
      </c>
      <c r="D12" s="113">
        <v>0</v>
      </c>
      <c r="E12" s="113">
        <v>0</v>
      </c>
      <c r="F12" s="113">
        <v>0.33500000000000002</v>
      </c>
      <c r="G12" s="133">
        <v>0.33500000000000002</v>
      </c>
      <c r="H12" s="133">
        <v>0.33500000000000002</v>
      </c>
    </row>
    <row r="13" spans="1:8" x14ac:dyDescent="0.15">
      <c r="C13" s="4" t="s">
        <v>61</v>
      </c>
      <c r="D13" s="113">
        <v>0</v>
      </c>
      <c r="E13" s="113">
        <v>0</v>
      </c>
      <c r="F13" s="113">
        <f>1-(0.913+0.335-1)/0.335</f>
        <v>0.25970149253731345</v>
      </c>
      <c r="G13" s="113">
        <f>1-(0.913+0.335-1)/0.335</f>
        <v>0.25970149253731345</v>
      </c>
      <c r="H13" s="113">
        <v>0</v>
      </c>
    </row>
    <row r="14" spans="1:8" x14ac:dyDescent="0.15">
      <c r="A14" s="4" t="s">
        <v>129</v>
      </c>
      <c r="B14" s="4" t="s">
        <v>141</v>
      </c>
      <c r="C14" s="4" t="s">
        <v>96</v>
      </c>
      <c r="D14" s="113">
        <v>0</v>
      </c>
      <c r="E14" s="113">
        <v>0</v>
      </c>
      <c r="F14" s="113">
        <v>0.33500000000000002</v>
      </c>
      <c r="G14" s="133">
        <v>0.33500000000000002</v>
      </c>
      <c r="H14" s="133">
        <v>0.33500000000000002</v>
      </c>
    </row>
    <row r="15" spans="1:8" x14ac:dyDescent="0.15">
      <c r="C15" s="4" t="s">
        <v>61</v>
      </c>
      <c r="D15" s="113">
        <v>0</v>
      </c>
      <c r="E15" s="113">
        <v>0</v>
      </c>
      <c r="F15" s="113">
        <f>1-(0.913+0.335-1)/0.335</f>
        <v>0.25970149253731345</v>
      </c>
      <c r="G15" s="113">
        <f>1-(0.913+0.335-1)/0.335</f>
        <v>0.25970149253731345</v>
      </c>
      <c r="H15" s="113">
        <v>0</v>
      </c>
    </row>
    <row r="16" spans="1:8" x14ac:dyDescent="0.15">
      <c r="B16" t="s">
        <v>140</v>
      </c>
      <c r="C16" s="4" t="s">
        <v>96</v>
      </c>
      <c r="D16" s="113">
        <v>0</v>
      </c>
      <c r="E16" s="113">
        <v>0</v>
      </c>
      <c r="F16" s="113">
        <v>0.33500000000000002</v>
      </c>
      <c r="G16" s="133">
        <v>0.33500000000000002</v>
      </c>
      <c r="H16" s="133">
        <v>0.33500000000000002</v>
      </c>
    </row>
    <row r="17" spans="1:9" x14ac:dyDescent="0.15">
      <c r="C17" s="4" t="s">
        <v>61</v>
      </c>
      <c r="D17" s="113">
        <v>0</v>
      </c>
      <c r="E17" s="113">
        <v>0</v>
      </c>
      <c r="F17" s="113">
        <f>1-(0.913+0.335-1)/0.335</f>
        <v>0.25970149253731345</v>
      </c>
      <c r="G17" s="113">
        <f>1-(0.913+0.335-1)/0.335</f>
        <v>0.25970149253731345</v>
      </c>
      <c r="H17" s="113">
        <v>0</v>
      </c>
    </row>
    <row r="18" spans="1:9" x14ac:dyDescent="0.15">
      <c r="A18" t="s">
        <v>136</v>
      </c>
      <c r="B18" t="s">
        <v>141</v>
      </c>
      <c r="C18" s="4" t="s">
        <v>96</v>
      </c>
      <c r="D18" s="113">
        <v>0</v>
      </c>
      <c r="E18" s="113">
        <v>0</v>
      </c>
      <c r="F18" s="113">
        <v>0.33500000000000002</v>
      </c>
      <c r="G18" s="133">
        <v>0.33500000000000002</v>
      </c>
      <c r="H18" s="133">
        <v>0.33500000000000002</v>
      </c>
    </row>
    <row r="19" spans="1:9" x14ac:dyDescent="0.15">
      <c r="C19" s="4" t="s">
        <v>61</v>
      </c>
      <c r="D19" s="113">
        <v>0</v>
      </c>
      <c r="E19" s="113">
        <v>0</v>
      </c>
      <c r="F19" s="113">
        <v>0.7</v>
      </c>
      <c r="G19" s="113">
        <v>0.62</v>
      </c>
      <c r="H19" s="113">
        <v>0.62</v>
      </c>
      <c r="I19" s="8"/>
    </row>
    <row r="20" spans="1:9" x14ac:dyDescent="0.15">
      <c r="B20" t="s">
        <v>140</v>
      </c>
      <c r="C20" s="4" t="s">
        <v>96</v>
      </c>
      <c r="D20" s="134">
        <v>0</v>
      </c>
      <c r="E20" s="134">
        <v>0</v>
      </c>
      <c r="F20" s="134">
        <v>0.33500000000000002</v>
      </c>
      <c r="G20" s="135">
        <v>0.33500000000000002</v>
      </c>
      <c r="H20" s="135">
        <v>0.33500000000000002</v>
      </c>
      <c r="I20" s="8"/>
    </row>
    <row r="21" spans="1:9" x14ac:dyDescent="0.15">
      <c r="C21" s="4" t="s">
        <v>61</v>
      </c>
      <c r="D21" s="134">
        <v>0</v>
      </c>
      <c r="E21" s="134">
        <v>0</v>
      </c>
      <c r="F21" s="134">
        <v>0.84</v>
      </c>
      <c r="G21" s="134">
        <v>0.62</v>
      </c>
      <c r="H21" s="134">
        <v>0.62</v>
      </c>
      <c r="I21" s="8"/>
    </row>
    <row r="22" spans="1:9" x14ac:dyDescent="0.15">
      <c r="A22" s="9" t="s">
        <v>137</v>
      </c>
      <c r="B22" t="s">
        <v>43</v>
      </c>
      <c r="C22" s="4" t="s">
        <v>96</v>
      </c>
      <c r="D22" s="113">
        <v>0.7</v>
      </c>
      <c r="E22" s="113">
        <v>0</v>
      </c>
      <c r="F22" s="113">
        <v>0</v>
      </c>
      <c r="G22" s="113">
        <v>0</v>
      </c>
      <c r="H22" s="113">
        <v>0</v>
      </c>
      <c r="I22" s="8"/>
    </row>
    <row r="23" spans="1:9" x14ac:dyDescent="0.15">
      <c r="A23" s="9"/>
      <c r="C23" t="s">
        <v>60</v>
      </c>
      <c r="D23" s="113">
        <v>0.46</v>
      </c>
      <c r="E23" s="113">
        <v>0</v>
      </c>
      <c r="F23" s="113">
        <v>0</v>
      </c>
      <c r="G23" s="113">
        <v>0</v>
      </c>
      <c r="H23" s="113">
        <v>0</v>
      </c>
      <c r="I23" s="8"/>
    </row>
    <row r="24" spans="1:9" x14ac:dyDescent="0.15">
      <c r="A24" s="9" t="s">
        <v>138</v>
      </c>
      <c r="B24" t="s">
        <v>43</v>
      </c>
      <c r="C24" s="4" t="s">
        <v>96</v>
      </c>
      <c r="D24" s="113">
        <v>0.7</v>
      </c>
      <c r="E24" s="113">
        <v>0</v>
      </c>
      <c r="F24" s="113">
        <v>0</v>
      </c>
      <c r="G24" s="113">
        <v>0</v>
      </c>
      <c r="H24" s="113">
        <v>0</v>
      </c>
    </row>
    <row r="25" spans="1:9" x14ac:dyDescent="0.15">
      <c r="A25" s="9"/>
      <c r="C25" t="s">
        <v>60</v>
      </c>
      <c r="D25" s="113">
        <v>0.46</v>
      </c>
      <c r="E25" s="113">
        <v>0</v>
      </c>
      <c r="F25" s="113">
        <v>0</v>
      </c>
      <c r="G25" s="113">
        <v>0</v>
      </c>
      <c r="H25" s="113">
        <v>0</v>
      </c>
    </row>
    <row r="26" spans="1:9" x14ac:dyDescent="0.15">
      <c r="A26" s="9" t="s">
        <v>139</v>
      </c>
      <c r="B26" t="s">
        <v>43</v>
      </c>
      <c r="C26" s="4" t="s">
        <v>96</v>
      </c>
      <c r="D26" s="113">
        <v>0.7</v>
      </c>
      <c r="E26" s="113">
        <v>0</v>
      </c>
      <c r="F26" s="113">
        <v>0</v>
      </c>
      <c r="G26" s="113">
        <v>0</v>
      </c>
      <c r="H26" s="113">
        <v>0</v>
      </c>
    </row>
    <row r="27" spans="1:9" x14ac:dyDescent="0.15">
      <c r="C27" t="s">
        <v>60</v>
      </c>
      <c r="D27" s="113">
        <v>0.46</v>
      </c>
      <c r="E27" s="113">
        <v>0</v>
      </c>
      <c r="F27" s="113">
        <v>0</v>
      </c>
      <c r="G27" s="113">
        <v>0</v>
      </c>
      <c r="H27" s="113">
        <v>0</v>
      </c>
    </row>
    <row r="28" spans="1:9" x14ac:dyDescent="0.15">
      <c r="A28" t="s">
        <v>249</v>
      </c>
      <c r="B28" s="4" t="s">
        <v>206</v>
      </c>
      <c r="C28" s="4" t="s">
        <v>96</v>
      </c>
      <c r="D28" s="113">
        <v>1</v>
      </c>
      <c r="E28" s="113">
        <v>1</v>
      </c>
      <c r="F28" s="113">
        <v>1</v>
      </c>
      <c r="G28" s="113">
        <v>1</v>
      </c>
      <c r="H28" s="113">
        <v>1</v>
      </c>
    </row>
    <row r="29" spans="1:9" x14ac:dyDescent="0.15">
      <c r="C29" t="s">
        <v>60</v>
      </c>
      <c r="D29" s="113">
        <v>0.17</v>
      </c>
      <c r="E29" s="113">
        <v>0.17</v>
      </c>
      <c r="F29" s="113">
        <v>0.17</v>
      </c>
      <c r="G29" s="113">
        <v>0.17</v>
      </c>
      <c r="H29" s="113">
        <v>0.17</v>
      </c>
    </row>
    <row r="30" spans="1:9" x14ac:dyDescent="0.15">
      <c r="B30" s="4"/>
      <c r="C30" s="4" t="s">
        <v>61</v>
      </c>
      <c r="D30" s="113">
        <v>0.17</v>
      </c>
      <c r="E30" s="113">
        <v>0.17</v>
      </c>
      <c r="F30" s="113">
        <v>0.17</v>
      </c>
      <c r="G30" s="113">
        <v>0.17</v>
      </c>
      <c r="H30" s="113">
        <v>0.17</v>
      </c>
    </row>
    <row r="31" spans="1:9" x14ac:dyDescent="0.15">
      <c r="A31" t="s">
        <v>250</v>
      </c>
      <c r="B31" s="4" t="s">
        <v>206</v>
      </c>
      <c r="C31" s="4" t="s">
        <v>96</v>
      </c>
      <c r="D31" s="113">
        <v>1</v>
      </c>
      <c r="E31" s="113">
        <v>1</v>
      </c>
      <c r="F31" s="113">
        <v>1</v>
      </c>
      <c r="G31" s="113">
        <v>1</v>
      </c>
      <c r="H31" s="113">
        <v>1</v>
      </c>
    </row>
    <row r="32" spans="1:9" x14ac:dyDescent="0.15">
      <c r="C32" t="s">
        <v>60</v>
      </c>
      <c r="D32" s="113">
        <v>0.69</v>
      </c>
      <c r="E32" s="113">
        <v>0.69</v>
      </c>
      <c r="F32" s="113">
        <v>0.69</v>
      </c>
      <c r="G32" s="113">
        <v>0.69</v>
      </c>
      <c r="H32" s="113">
        <v>0.69</v>
      </c>
    </row>
    <row r="33" spans="1:8" x14ac:dyDescent="0.15">
      <c r="B33" s="4"/>
      <c r="C33" s="4" t="s">
        <v>61</v>
      </c>
      <c r="D33" s="113">
        <v>0.69</v>
      </c>
      <c r="E33" s="113">
        <v>0.69</v>
      </c>
      <c r="F33" s="113">
        <v>0.69</v>
      </c>
      <c r="G33" s="113">
        <v>0.69</v>
      </c>
      <c r="H33" s="113">
        <v>0.69</v>
      </c>
    </row>
    <row r="34" spans="1:8" x14ac:dyDescent="0.15">
      <c r="A34" t="s">
        <v>251</v>
      </c>
      <c r="B34" s="4" t="s">
        <v>206</v>
      </c>
      <c r="C34" s="4" t="s">
        <v>96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</row>
    <row r="35" spans="1:8" x14ac:dyDescent="0.15">
      <c r="C35" t="s">
        <v>60</v>
      </c>
      <c r="D35" s="113">
        <v>0.36</v>
      </c>
      <c r="E35" s="113">
        <v>0.36</v>
      </c>
      <c r="F35" s="113">
        <v>0.36</v>
      </c>
      <c r="G35" s="113">
        <v>0.36</v>
      </c>
      <c r="H35" s="113">
        <v>0.36</v>
      </c>
    </row>
    <row r="36" spans="1:8" x14ac:dyDescent="0.15">
      <c r="B36" s="4"/>
      <c r="C36" s="4" t="s">
        <v>61</v>
      </c>
      <c r="D36" s="113">
        <v>0.36</v>
      </c>
      <c r="E36" s="113">
        <v>0.36</v>
      </c>
      <c r="F36" s="113">
        <v>0.36</v>
      </c>
      <c r="G36" s="113">
        <v>0.36</v>
      </c>
      <c r="H36" s="113">
        <v>0.36</v>
      </c>
    </row>
    <row r="37" spans="1:8" x14ac:dyDescent="0.15">
      <c r="A37" t="s">
        <v>252</v>
      </c>
      <c r="B37" s="4" t="s">
        <v>206</v>
      </c>
      <c r="C37" s="4" t="s">
        <v>96</v>
      </c>
      <c r="D37" s="114">
        <v>1</v>
      </c>
      <c r="E37" s="114">
        <v>1</v>
      </c>
      <c r="F37" s="114">
        <v>1</v>
      </c>
      <c r="G37" s="114">
        <v>1</v>
      </c>
      <c r="H37" s="114">
        <v>1</v>
      </c>
    </row>
    <row r="38" spans="1:8" x14ac:dyDescent="0.15">
      <c r="C38" t="s">
        <v>60</v>
      </c>
      <c r="D38" s="113">
        <v>0.2</v>
      </c>
      <c r="E38" s="113">
        <v>0.2</v>
      </c>
      <c r="F38" s="113">
        <v>0.2</v>
      </c>
      <c r="G38" s="113">
        <v>0.2</v>
      </c>
      <c r="H38" s="113">
        <v>0.2</v>
      </c>
    </row>
    <row r="39" spans="1:8" x14ac:dyDescent="0.15">
      <c r="B39" s="4"/>
      <c r="C39" s="4" t="s">
        <v>61</v>
      </c>
      <c r="D39" s="113">
        <v>0.2</v>
      </c>
      <c r="E39" s="113">
        <v>0.2</v>
      </c>
      <c r="F39" s="113">
        <v>0.2</v>
      </c>
      <c r="G39" s="113">
        <v>0.2</v>
      </c>
      <c r="H39" s="113">
        <v>0.2</v>
      </c>
    </row>
    <row r="40" spans="1:8" x14ac:dyDescent="0.15">
      <c r="A40" t="s">
        <v>253</v>
      </c>
      <c r="B40" s="4" t="s">
        <v>206</v>
      </c>
      <c r="C40" s="4" t="s">
        <v>96</v>
      </c>
      <c r="D40" s="114">
        <v>1</v>
      </c>
      <c r="E40" s="114">
        <v>1</v>
      </c>
      <c r="F40" s="114">
        <v>1</v>
      </c>
      <c r="G40" s="114">
        <v>1</v>
      </c>
      <c r="H40" s="114">
        <v>1</v>
      </c>
    </row>
    <row r="41" spans="1:8" x14ac:dyDescent="0.15">
      <c r="C41" t="s">
        <v>60</v>
      </c>
      <c r="D41" s="113">
        <v>0.48</v>
      </c>
      <c r="E41" s="113">
        <v>0.48</v>
      </c>
      <c r="F41" s="113">
        <v>0.48</v>
      </c>
      <c r="G41" s="113">
        <v>0.48</v>
      </c>
      <c r="H41" s="113">
        <v>0.48</v>
      </c>
    </row>
    <row r="42" spans="1:8" x14ac:dyDescent="0.15">
      <c r="B42" s="4"/>
      <c r="C42" s="4" t="s">
        <v>61</v>
      </c>
      <c r="D42" s="113">
        <v>0.48</v>
      </c>
      <c r="E42" s="113">
        <v>0.48</v>
      </c>
      <c r="F42" s="113">
        <v>0.48</v>
      </c>
      <c r="G42" s="113">
        <v>0.48</v>
      </c>
      <c r="H42" s="113">
        <v>0.48</v>
      </c>
    </row>
    <row r="43" spans="1:8" x14ac:dyDescent="0.15">
      <c r="A43" t="s">
        <v>133</v>
      </c>
      <c r="B43" s="4" t="s">
        <v>206</v>
      </c>
      <c r="C43" s="4" t="s">
        <v>96</v>
      </c>
      <c r="D43" s="113">
        <v>0.3</v>
      </c>
      <c r="E43" s="113">
        <v>0.3</v>
      </c>
      <c r="F43" s="113">
        <v>0.3</v>
      </c>
      <c r="G43" s="113">
        <v>0.3</v>
      </c>
      <c r="H43" s="113">
        <v>0.3</v>
      </c>
    </row>
    <row r="44" spans="1:8" x14ac:dyDescent="0.15">
      <c r="C44" t="s">
        <v>60</v>
      </c>
      <c r="D44" s="113">
        <v>0.5</v>
      </c>
      <c r="E44" s="113">
        <v>0.5</v>
      </c>
      <c r="F44" s="113">
        <v>0.5</v>
      </c>
      <c r="G44" s="113">
        <v>0.5</v>
      </c>
      <c r="H44" s="113">
        <v>0.5</v>
      </c>
    </row>
    <row r="45" spans="1:8" x14ac:dyDescent="0.15">
      <c r="C45" s="4" t="s">
        <v>61</v>
      </c>
      <c r="D45" s="113">
        <v>0.65</v>
      </c>
      <c r="E45" s="113">
        <v>0.65</v>
      </c>
      <c r="F45" s="113">
        <v>0.65</v>
      </c>
      <c r="G45" s="113">
        <v>0.65</v>
      </c>
      <c r="H45" s="113">
        <v>0.65</v>
      </c>
    </row>
    <row r="46" spans="1:8" x14ac:dyDescent="0.15">
      <c r="B46" s="4" t="s">
        <v>28</v>
      </c>
      <c r="C46" s="4" t="s">
        <v>96</v>
      </c>
      <c r="D46" s="113">
        <v>0.3</v>
      </c>
      <c r="E46" s="113">
        <v>0.3</v>
      </c>
      <c r="F46" s="113">
        <v>0.3</v>
      </c>
      <c r="G46" s="113">
        <v>0.3</v>
      </c>
      <c r="H46" s="113">
        <v>0.3</v>
      </c>
    </row>
    <row r="47" spans="1:8" x14ac:dyDescent="0.15">
      <c r="C47" t="s">
        <v>60</v>
      </c>
      <c r="D47" s="113">
        <v>0.49</v>
      </c>
      <c r="E47" s="113">
        <v>0.49</v>
      </c>
      <c r="F47" s="113">
        <v>0.49</v>
      </c>
      <c r="G47" s="113">
        <v>0.49</v>
      </c>
      <c r="H47" s="113">
        <v>0.49</v>
      </c>
    </row>
    <row r="48" spans="1:8" x14ac:dyDescent="0.15">
      <c r="C48" s="4" t="s">
        <v>61</v>
      </c>
      <c r="D48" s="113">
        <v>0.52</v>
      </c>
      <c r="E48" s="113">
        <v>0.52</v>
      </c>
      <c r="F48" s="113">
        <v>0.52</v>
      </c>
      <c r="G48" s="113">
        <v>0.52</v>
      </c>
      <c r="H48" s="113">
        <v>0.52</v>
      </c>
    </row>
    <row r="49" spans="1:8" x14ac:dyDescent="0.15">
      <c r="A49" t="s">
        <v>254</v>
      </c>
      <c r="B49" s="4" t="s">
        <v>206</v>
      </c>
      <c r="C49" s="4" t="s">
        <v>96</v>
      </c>
      <c r="D49" s="113">
        <v>0.88</v>
      </c>
      <c r="E49" s="113">
        <v>0.88</v>
      </c>
      <c r="F49" s="113">
        <v>0.88</v>
      </c>
      <c r="G49" s="113">
        <v>0.88</v>
      </c>
      <c r="H49" s="113">
        <v>0.88</v>
      </c>
    </row>
    <row r="50" spans="1:8" x14ac:dyDescent="0.15">
      <c r="C50" t="s">
        <v>60</v>
      </c>
      <c r="D50" s="113">
        <v>0.93</v>
      </c>
      <c r="E50" s="113">
        <v>0.93</v>
      </c>
      <c r="F50" s="113">
        <v>0.93</v>
      </c>
      <c r="G50" s="113">
        <v>0.93</v>
      </c>
      <c r="H50" s="113">
        <v>0.93</v>
      </c>
    </row>
    <row r="51" spans="1:8" x14ac:dyDescent="0.15">
      <c r="A51" t="s">
        <v>255</v>
      </c>
      <c r="B51" s="4" t="s">
        <v>206</v>
      </c>
      <c r="C51" s="4" t="s">
        <v>96</v>
      </c>
      <c r="D51" s="113">
        <v>1</v>
      </c>
      <c r="E51" s="113">
        <v>1</v>
      </c>
      <c r="F51" s="113">
        <v>1</v>
      </c>
      <c r="G51" s="113">
        <v>1</v>
      </c>
      <c r="H51" s="113">
        <v>1</v>
      </c>
    </row>
    <row r="52" spans="1:8" x14ac:dyDescent="0.15">
      <c r="C52" t="s">
        <v>60</v>
      </c>
      <c r="D52" s="113">
        <v>0.86</v>
      </c>
      <c r="E52" s="113">
        <v>0.86</v>
      </c>
      <c r="F52" s="113">
        <v>0.86</v>
      </c>
      <c r="G52" s="113">
        <v>0.86</v>
      </c>
      <c r="H52" s="113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 tint="0.39997558519241921"/>
  </sheetPr>
  <dimension ref="A1:E11"/>
  <sheetViews>
    <sheetView workbookViewId="0">
      <selection activeCell="A2" sqref="A2"/>
    </sheetView>
    <sheetView workbookViewId="1"/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7" t="s">
        <v>168</v>
      </c>
      <c r="B1" s="7" t="s">
        <v>169</v>
      </c>
      <c r="C1" s="7" t="s">
        <v>11</v>
      </c>
      <c r="D1" s="7" t="s">
        <v>177</v>
      </c>
      <c r="E1" s="7" t="s">
        <v>179</v>
      </c>
    </row>
    <row r="2" spans="1:5" ht="14" x14ac:dyDescent="0.15">
      <c r="A2" s="42" t="s">
        <v>159</v>
      </c>
      <c r="B2" s="43">
        <v>0.9</v>
      </c>
      <c r="C2" s="46">
        <v>0.09</v>
      </c>
      <c r="D2">
        <v>0.8</v>
      </c>
      <c r="E2">
        <f>C2*D2</f>
        <v>7.1999999999999995E-2</v>
      </c>
    </row>
    <row r="3" spans="1:5" ht="14" x14ac:dyDescent="0.15">
      <c r="A3" s="42" t="s">
        <v>160</v>
      </c>
      <c r="B3" s="43">
        <v>1</v>
      </c>
      <c r="C3" s="46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42" t="s">
        <v>161</v>
      </c>
      <c r="B4" s="43">
        <v>1</v>
      </c>
      <c r="C4" s="46">
        <v>0.08</v>
      </c>
      <c r="D4">
        <v>2</v>
      </c>
      <c r="E4">
        <f t="shared" si="0"/>
        <v>0.16</v>
      </c>
    </row>
    <row r="5" spans="1:5" ht="14" x14ac:dyDescent="0.15">
      <c r="A5" s="42" t="s">
        <v>164</v>
      </c>
      <c r="B5" s="43">
        <v>1</v>
      </c>
      <c r="C5" s="46">
        <v>0.18</v>
      </c>
      <c r="D5">
        <v>0.7</v>
      </c>
      <c r="E5">
        <f t="shared" si="0"/>
        <v>0.126</v>
      </c>
    </row>
    <row r="6" spans="1:5" ht="14" x14ac:dyDescent="0.15">
      <c r="A6" s="42" t="s">
        <v>165</v>
      </c>
      <c r="B6" s="43">
        <v>1</v>
      </c>
      <c r="C6" s="46">
        <v>0.02</v>
      </c>
      <c r="D6">
        <v>0.7</v>
      </c>
      <c r="E6">
        <f t="shared" si="0"/>
        <v>1.3999999999999999E-2</v>
      </c>
    </row>
    <row r="7" spans="1:5" ht="14" x14ac:dyDescent="0.15">
      <c r="A7" s="42" t="s">
        <v>162</v>
      </c>
      <c r="B7" s="43">
        <v>0.93</v>
      </c>
      <c r="C7" s="46">
        <v>0.45</v>
      </c>
      <c r="D7">
        <v>0.9</v>
      </c>
      <c r="E7">
        <f t="shared" si="0"/>
        <v>0.40500000000000003</v>
      </c>
    </row>
    <row r="8" spans="1:5" ht="14" x14ac:dyDescent="0.15">
      <c r="A8" s="42" t="s">
        <v>163</v>
      </c>
      <c r="B8" s="43">
        <v>0.5</v>
      </c>
      <c r="C8" s="46">
        <v>0.03</v>
      </c>
      <c r="D8">
        <v>0</v>
      </c>
      <c r="E8">
        <f t="shared" si="0"/>
        <v>0</v>
      </c>
    </row>
    <row r="9" spans="1:5" ht="14" x14ac:dyDescent="0.15">
      <c r="A9" s="42" t="s">
        <v>166</v>
      </c>
      <c r="B9" s="43">
        <v>0.5</v>
      </c>
      <c r="C9" s="46">
        <v>0.11</v>
      </c>
      <c r="D9">
        <v>0</v>
      </c>
      <c r="E9">
        <f t="shared" si="0"/>
        <v>0</v>
      </c>
    </row>
    <row r="10" spans="1:5" ht="14" x14ac:dyDescent="0.15">
      <c r="A10" s="42" t="s">
        <v>167</v>
      </c>
      <c r="B10" s="43">
        <v>0.98</v>
      </c>
      <c r="C10" s="46">
        <v>0.01</v>
      </c>
      <c r="D10">
        <v>0.6</v>
      </c>
      <c r="E10">
        <f t="shared" si="0"/>
        <v>6.0000000000000001E-3</v>
      </c>
    </row>
    <row r="11" spans="1:5" x14ac:dyDescent="0.15">
      <c r="C11" s="8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 tint="0.39997558519241921"/>
  </sheetPr>
  <dimension ref="A1:H7"/>
  <sheetViews>
    <sheetView zoomScale="137" zoomScaleNormal="137" workbookViewId="0">
      <selection activeCell="B2" sqref="B2"/>
    </sheetView>
    <sheetView workbookViewId="1">
      <selection activeCell="D4" sqref="D4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196</v>
      </c>
      <c r="B1" s="1" t="s">
        <v>5</v>
      </c>
      <c r="C1" s="1" t="s">
        <v>48</v>
      </c>
      <c r="D1" s="7" t="s">
        <v>108</v>
      </c>
      <c r="E1" s="7" t="s">
        <v>109</v>
      </c>
      <c r="F1" s="7" t="s">
        <v>110</v>
      </c>
      <c r="G1" s="7" t="s">
        <v>111</v>
      </c>
      <c r="H1" s="37"/>
    </row>
    <row r="2" spans="1:8" x14ac:dyDescent="0.15">
      <c r="A2" s="4" t="s">
        <v>256</v>
      </c>
      <c r="B2" s="98" t="s">
        <v>82</v>
      </c>
      <c r="C2" s="4" t="s">
        <v>96</v>
      </c>
      <c r="D2" s="113">
        <v>1</v>
      </c>
      <c r="E2" s="113">
        <v>1</v>
      </c>
      <c r="F2" s="113">
        <v>1</v>
      </c>
      <c r="G2" s="113">
        <v>1</v>
      </c>
      <c r="H2" s="88"/>
    </row>
    <row r="3" spans="1:8" x14ac:dyDescent="0.15">
      <c r="C3" t="s">
        <v>60</v>
      </c>
      <c r="D3" s="113">
        <v>0.2</v>
      </c>
      <c r="E3" s="113">
        <v>0.2</v>
      </c>
      <c r="F3" s="113">
        <v>0.2</v>
      </c>
      <c r="G3" s="113">
        <v>0.2</v>
      </c>
      <c r="H3" s="9"/>
    </row>
    <row r="4" spans="1:8" x14ac:dyDescent="0.15">
      <c r="A4" s="4" t="s">
        <v>257</v>
      </c>
      <c r="B4" t="s">
        <v>82</v>
      </c>
      <c r="C4" s="4" t="s">
        <v>96</v>
      </c>
      <c r="D4" s="113">
        <v>1</v>
      </c>
      <c r="E4" s="113">
        <v>1</v>
      </c>
      <c r="F4" s="113">
        <v>1</v>
      </c>
      <c r="G4" s="113">
        <v>1</v>
      </c>
      <c r="H4" s="9"/>
    </row>
    <row r="5" spans="1:8" x14ac:dyDescent="0.15">
      <c r="A5" s="8"/>
      <c r="C5" t="s">
        <v>60</v>
      </c>
      <c r="D5" s="113">
        <v>0.59</v>
      </c>
      <c r="E5" s="113">
        <v>0.59</v>
      </c>
      <c r="F5" s="113">
        <v>0.59</v>
      </c>
      <c r="G5" s="113">
        <v>0.59</v>
      </c>
      <c r="H5" s="88"/>
    </row>
    <row r="6" spans="1:8" x14ac:dyDescent="0.15">
      <c r="A6" s="4" t="s">
        <v>258</v>
      </c>
      <c r="B6" t="s">
        <v>82</v>
      </c>
      <c r="C6" s="4" t="s">
        <v>96</v>
      </c>
      <c r="D6" s="113">
        <v>1</v>
      </c>
      <c r="E6" s="113">
        <v>1</v>
      </c>
      <c r="F6" s="113">
        <v>1</v>
      </c>
      <c r="G6" s="113">
        <v>1</v>
      </c>
      <c r="H6" s="88"/>
    </row>
    <row r="7" spans="1:8" x14ac:dyDescent="0.15">
      <c r="A7" s="8"/>
      <c r="C7" t="s">
        <v>60</v>
      </c>
      <c r="D7" s="113">
        <v>0.6</v>
      </c>
      <c r="E7" s="113">
        <v>0.6</v>
      </c>
      <c r="F7" s="113">
        <v>0.6</v>
      </c>
      <c r="G7" s="113">
        <v>0.6</v>
      </c>
      <c r="H7" s="9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 tint="0.39997558519241921"/>
  </sheetPr>
  <dimension ref="A1:F3"/>
  <sheetViews>
    <sheetView workbookViewId="0">
      <selection activeCell="A2" sqref="A2"/>
    </sheetView>
    <sheetView workbookViewId="1">
      <selection activeCell="C2" sqref="C2:E3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196</v>
      </c>
      <c r="B1" s="89" t="s">
        <v>48</v>
      </c>
      <c r="C1" s="90" t="s">
        <v>227</v>
      </c>
      <c r="D1" s="90" t="s">
        <v>228</v>
      </c>
      <c r="E1" s="90" t="s">
        <v>229</v>
      </c>
      <c r="F1" s="1"/>
    </row>
    <row r="2" spans="1:6" x14ac:dyDescent="0.15">
      <c r="A2" t="s">
        <v>259</v>
      </c>
      <c r="B2" s="54" t="s">
        <v>51</v>
      </c>
      <c r="C2" s="136">
        <f>'Distribution births'!C2</f>
        <v>0.15</v>
      </c>
      <c r="D2" s="136">
        <f>'Distribution births'!C3</f>
        <v>0.03</v>
      </c>
      <c r="E2" s="136">
        <f>'Distribution births'!C4</f>
        <v>0</v>
      </c>
      <c r="F2" s="6"/>
    </row>
    <row r="3" spans="1:6" x14ac:dyDescent="0.15">
      <c r="B3" s="54" t="s">
        <v>49</v>
      </c>
      <c r="C3" s="136">
        <v>0.8</v>
      </c>
      <c r="D3" s="136">
        <v>0.8</v>
      </c>
      <c r="E3" s="136">
        <v>0.8</v>
      </c>
      <c r="F3" s="6"/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 tint="0.39997558519241921"/>
  </sheetPr>
  <dimension ref="A1:O51"/>
  <sheetViews>
    <sheetView zoomScale="85" zoomScaleNormal="118" workbookViewId="0">
      <selection activeCell="E10" sqref="E10"/>
    </sheetView>
    <sheetView topLeftCell="A26" zoomScale="106" workbookViewId="1">
      <selection activeCell="E48" sqref="E48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7" t="s">
        <v>73</v>
      </c>
      <c r="B1" s="1" t="s">
        <v>196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108</v>
      </c>
      <c r="I1" s="7" t="s">
        <v>109</v>
      </c>
      <c r="J1" s="7" t="s">
        <v>110</v>
      </c>
      <c r="K1" s="7" t="s">
        <v>111</v>
      </c>
      <c r="L1" s="7" t="s">
        <v>104</v>
      </c>
      <c r="M1" s="7" t="s">
        <v>105</v>
      </c>
      <c r="N1" s="7" t="s">
        <v>106</v>
      </c>
      <c r="O1" s="7" t="s">
        <v>107</v>
      </c>
    </row>
    <row r="2" spans="1:15" ht="15.75" customHeight="1" x14ac:dyDescent="0.15">
      <c r="A2" s="7" t="s">
        <v>69</v>
      </c>
      <c r="B2" s="4" t="s">
        <v>133</v>
      </c>
      <c r="C2" s="3">
        <v>0</v>
      </c>
      <c r="D2" s="3">
        <v>0</v>
      </c>
      <c r="E2" s="3">
        <v>1</v>
      </c>
      <c r="F2" s="3">
        <v>1</v>
      </c>
      <c r="G2" s="3">
        <v>1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B3" s="4" t="s">
        <v>47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120</v>
      </c>
      <c r="C4" s="3">
        <v>0</v>
      </c>
      <c r="D4" s="3">
        <v>0</v>
      </c>
      <c r="E4" s="117">
        <f>FracPoor</f>
        <v>0.36</v>
      </c>
      <c r="F4" s="117">
        <f>FracPoor</f>
        <v>0.36</v>
      </c>
      <c r="G4" s="9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" t="s">
        <v>72</v>
      </c>
      <c r="C5" s="3">
        <v>0</v>
      </c>
      <c r="D5" s="3">
        <v>0</v>
      </c>
      <c r="E5" s="117">
        <f>FracPoor*(1-FracRiskMalaria)</f>
        <v>0.32400000000000001</v>
      </c>
      <c r="F5" s="117">
        <f>FracPoor*(1-FracRiskMalaria)</f>
        <v>0.32400000000000001</v>
      </c>
      <c r="G5" s="9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129</v>
      </c>
      <c r="C6" s="3">
        <v>0</v>
      </c>
      <c r="D6" s="3">
        <v>0</v>
      </c>
      <c r="E6" s="117">
        <f>FracPoor*FracRiskMalaria</f>
        <v>3.5999999999999997E-2</v>
      </c>
      <c r="F6" s="117">
        <f>FracPoor*FracRiskMalaria</f>
        <v>3.5999999999999997E-2</v>
      </c>
      <c r="G6" s="9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71</v>
      </c>
      <c r="C7" s="3">
        <v>0</v>
      </c>
      <c r="D7" s="3">
        <v>0</v>
      </c>
      <c r="E7" s="117">
        <f>1-FracRiskMalaria</f>
        <v>0.9</v>
      </c>
      <c r="F7" s="117">
        <f>1-FracRiskMalaria</f>
        <v>0.9</v>
      </c>
      <c r="G7" s="117">
        <f>1-FracRiskMalaria</f>
        <v>0.9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130</v>
      </c>
      <c r="C8" s="3">
        <v>0</v>
      </c>
      <c r="D8" s="3">
        <v>0</v>
      </c>
      <c r="E8" s="117">
        <f>FracRiskMalaria</f>
        <v>0.1</v>
      </c>
      <c r="F8" s="117">
        <f>FracRiskMalaria</f>
        <v>0.1</v>
      </c>
      <c r="G8" s="117">
        <f>FracRiskMalaria</f>
        <v>0.1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136</v>
      </c>
      <c r="C9" s="91">
        <v>0</v>
      </c>
      <c r="D9" s="117">
        <f>FracPoor</f>
        <v>0.36</v>
      </c>
      <c r="E9" s="117">
        <f>FracPoor</f>
        <v>0.36</v>
      </c>
      <c r="F9" s="117">
        <f>FracPoor</f>
        <v>0.36</v>
      </c>
      <c r="G9" s="117">
        <f>FracPoor</f>
        <v>0.36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144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145</v>
      </c>
      <c r="C11" s="91">
        <v>0</v>
      </c>
      <c r="D11" s="91">
        <v>1</v>
      </c>
      <c r="E11" s="91">
        <v>1</v>
      </c>
      <c r="F11" s="91">
        <v>1</v>
      </c>
      <c r="G11" s="91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3" spans="1:15" ht="15.75" customHeight="1" x14ac:dyDescent="0.15">
      <c r="A13" s="7" t="s">
        <v>70</v>
      </c>
      <c r="B13" t="s">
        <v>53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117">
        <f>FracPoor</f>
        <v>0.36</v>
      </c>
      <c r="I13" s="117">
        <f>FracPoor</f>
        <v>0.36</v>
      </c>
      <c r="J13" s="117">
        <f>FracPoor</f>
        <v>0.36</v>
      </c>
      <c r="K13" s="117">
        <f>FracPoor</f>
        <v>0.36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7"/>
      <c r="B14" t="s">
        <v>128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119">
        <f>1-FracRiskMalaria</f>
        <v>0.9</v>
      </c>
      <c r="I14" s="119">
        <f>1-FracRiskMalaria</f>
        <v>0.9</v>
      </c>
      <c r="J14" s="119">
        <f>1-FracRiskMalaria</f>
        <v>0.9</v>
      </c>
      <c r="K14" s="119">
        <f>1-FracRiskMalaria</f>
        <v>0.9</v>
      </c>
      <c r="L14" s="3">
        <v>0</v>
      </c>
      <c r="M14" s="3">
        <v>0</v>
      </c>
      <c r="N14" s="3">
        <v>0</v>
      </c>
      <c r="O14" s="3">
        <v>0</v>
      </c>
    </row>
    <row r="15" spans="1:15" ht="15.75" customHeight="1" x14ac:dyDescent="0.15">
      <c r="B15" t="s">
        <v>131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17">
        <f>FracRiskMalaria</f>
        <v>0.1</v>
      </c>
      <c r="I15" s="117">
        <f>FracRiskMalaria</f>
        <v>0.1</v>
      </c>
      <c r="J15" s="117">
        <f>FracRiskMalaria</f>
        <v>0.1</v>
      </c>
      <c r="K15" s="117">
        <f>FracRiskMalaria</f>
        <v>0.1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B16" s="4" t="s">
        <v>74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20">
        <f>1-FracRiskMalaria</f>
        <v>0.9</v>
      </c>
      <c r="I16" s="120">
        <f>1-FracRiskMalaria</f>
        <v>0.9</v>
      </c>
      <c r="J16" s="120">
        <f>1-FracRiskMalaria</f>
        <v>0.9</v>
      </c>
      <c r="K16" s="120">
        <f>1-FracRiskMalaria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s="4" t="s">
        <v>132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20">
        <f>FracRiskMalaria</f>
        <v>0.1</v>
      </c>
      <c r="I17" s="120">
        <f>FracRiskMalaria</f>
        <v>0.1</v>
      </c>
      <c r="J17" s="120">
        <f>FracRiskMalaria</f>
        <v>0.1</v>
      </c>
      <c r="K17" s="120">
        <f>FracRiskMalaria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112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20">
        <f>FracRiskMalaria</f>
        <v>0.1</v>
      </c>
      <c r="I18" s="120">
        <f>FracRiskMalaria</f>
        <v>0.1</v>
      </c>
      <c r="J18" s="120">
        <f>FracRiskMalaria</f>
        <v>0.1</v>
      </c>
      <c r="K18" s="120">
        <f>FracRiskMalaria</f>
        <v>0.1</v>
      </c>
      <c r="L18" s="3">
        <v>0</v>
      </c>
      <c r="M18" s="3">
        <v>0</v>
      </c>
      <c r="N18" s="3">
        <v>0</v>
      </c>
      <c r="O18" s="3">
        <v>0</v>
      </c>
    </row>
    <row r="20" spans="1:15" ht="15.75" customHeight="1" x14ac:dyDescent="0.15">
      <c r="A20" s="7" t="s">
        <v>78</v>
      </c>
      <c r="B20" t="s">
        <v>113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2">
        <v>0</v>
      </c>
      <c r="J20" s="32">
        <v>0</v>
      </c>
      <c r="K20" s="32">
        <v>0</v>
      </c>
      <c r="L20" s="117">
        <f>FracPoor*(1-FracRiskMalaria)*1*FracSchoolAttendance</f>
        <v>0.114048</v>
      </c>
      <c r="M20" s="117">
        <v>0</v>
      </c>
      <c r="N20" s="117">
        <v>0</v>
      </c>
      <c r="O20" s="117">
        <v>0</v>
      </c>
    </row>
    <row r="21" spans="1:15" ht="15.75" customHeight="1" x14ac:dyDescent="0.15">
      <c r="B21" t="s">
        <v>114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2">
        <v>0</v>
      </c>
      <c r="J21" s="32">
        <v>0</v>
      </c>
      <c r="K21" s="32">
        <v>0</v>
      </c>
      <c r="L21" s="117">
        <f>FracPoor*(1-FracRiskMalaria)*(0.7)*(1-FracSchoolAttendance)</f>
        <v>0.1469664</v>
      </c>
      <c r="M21" s="117">
        <f>FracPoor*(1-FracRiskMalaria)*(0.7)</f>
        <v>0.2268</v>
      </c>
      <c r="N21" s="117">
        <f>FracPoor*(1-FracRiskMalaria)*(0.7)</f>
        <v>0.2268</v>
      </c>
      <c r="O21" s="117">
        <f>FracPoor*(1-FracRiskMalaria)*(0.7)</f>
        <v>0.2268</v>
      </c>
    </row>
    <row r="22" spans="1:15" ht="15.75" customHeight="1" x14ac:dyDescent="0.15">
      <c r="B22" t="s">
        <v>115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2">
        <v>0</v>
      </c>
      <c r="J22" s="32">
        <v>0</v>
      </c>
      <c r="K22" s="32">
        <v>0</v>
      </c>
      <c r="L22" s="117">
        <f>FracPoor*(1-FracRiskMalaria)*(0.3)*(1-FracSchoolAttendance)</f>
        <v>6.2985600000000003E-2</v>
      </c>
      <c r="M22" s="117">
        <f>FracPoor*(1-FracRiskMalaria)*(0.3)</f>
        <v>9.7199999999999995E-2</v>
      </c>
      <c r="N22" s="117">
        <f>FracPoor*(1-FracRiskMalaria)*(0.3)</f>
        <v>9.7199999999999995E-2</v>
      </c>
      <c r="O22" s="117">
        <f>FracPoor*(1-FracRiskMalaria)*(0.3)</f>
        <v>9.7199999999999995E-2</v>
      </c>
    </row>
    <row r="23" spans="1:15" ht="15.75" customHeight="1" x14ac:dyDescent="0.15"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2">
        <v>0</v>
      </c>
      <c r="J23" s="32">
        <v>0</v>
      </c>
      <c r="K23" s="32">
        <v>0</v>
      </c>
      <c r="L23" s="117">
        <f>(1-FracPoor)*(1-FracRiskMalaria)*1*FracSchoolAttendance</f>
        <v>0.20275200000000002</v>
      </c>
      <c r="M23" s="117">
        <v>0</v>
      </c>
      <c r="N23" s="117">
        <v>0</v>
      </c>
      <c r="O23" s="117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2">
        <v>0</v>
      </c>
      <c r="J24" s="32">
        <v>0</v>
      </c>
      <c r="K24" s="32">
        <v>0</v>
      </c>
      <c r="L24" s="117">
        <f>(1-FracPoor)*(1-FracRiskMalaria)*(0.49)*(1-FracSchoolAttendance)</f>
        <v>0.18289152000000003</v>
      </c>
      <c r="M24" s="117">
        <f>(1-FracPoor)*(1-FracRiskMalaria)*(0.49)</f>
        <v>0.28224000000000005</v>
      </c>
      <c r="N24" s="117">
        <f>(1-FracPoor)*(1-FracRiskMalaria)*(0.49)</f>
        <v>0.28224000000000005</v>
      </c>
      <c r="O24" s="117">
        <f>(1-FracPoor)*(1-FracRiskMalaria)*(0.49)</f>
        <v>0.28224000000000005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2">
        <v>0</v>
      </c>
      <c r="J25" s="32">
        <v>0</v>
      </c>
      <c r="K25" s="32">
        <v>0</v>
      </c>
      <c r="L25" s="117">
        <f>(1-FracPoor)*(1-FracRiskMalaria)*(0.21)*(1-FracSchoolAttendance)</f>
        <v>7.8382080000000007E-2</v>
      </c>
      <c r="M25" s="117">
        <f>(1-FracPoor)*(1-FracRiskMalaria)*(0.21)</f>
        <v>0.12096000000000001</v>
      </c>
      <c r="N25" s="117">
        <f>(1-FracPoor)*(1-FracRiskMalaria)*(0.21)</f>
        <v>0.12096000000000001</v>
      </c>
      <c r="O25" s="117">
        <f>(1-FracPoor)*(1-FracRiskMalaria)*(0.21)</f>
        <v>0.12096000000000001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2">
        <v>0</v>
      </c>
      <c r="J26" s="32">
        <v>0</v>
      </c>
      <c r="K26" s="32">
        <v>0</v>
      </c>
      <c r="L26" s="117">
        <f>(1-FracPoor)*(1-FracRiskMalaria)*(0.3)*(1-FracSchoolAttendance)</f>
        <v>0.11197440000000002</v>
      </c>
      <c r="M26" s="117">
        <f>(1-FracPoor)*(1-FracRiskMalaria)*(0.3)</f>
        <v>0.17280000000000001</v>
      </c>
      <c r="N26" s="117">
        <f>(1-FracPoor)*(1-FracRiskMalaria)*(0.3)</f>
        <v>0.17280000000000001</v>
      </c>
      <c r="O26" s="117">
        <f>(1-FracPoor)*(1-FracRiskMalaria)*(0.3)</f>
        <v>0.17280000000000001</v>
      </c>
    </row>
    <row r="27" spans="1:15" ht="15.75" customHeight="1" x14ac:dyDescent="0.15">
      <c r="A27" s="7"/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2">
        <v>0</v>
      </c>
      <c r="J27" s="32">
        <v>0</v>
      </c>
      <c r="K27" s="32">
        <v>0</v>
      </c>
      <c r="L27" s="117">
        <f>FracPoor*(FracRiskMalaria)*1*FracSchoolAttendance</f>
        <v>1.2671999999999998E-2</v>
      </c>
      <c r="M27" s="117">
        <v>0</v>
      </c>
      <c r="N27" s="117">
        <v>0</v>
      </c>
      <c r="O27" s="117"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2">
        <v>0</v>
      </c>
      <c r="J28" s="32">
        <v>0</v>
      </c>
      <c r="K28" s="32">
        <v>0</v>
      </c>
      <c r="L28" s="117">
        <f>FracPoor*(FracRiskMalaria)*(0.7)*(1-FracSchoolAttendance)</f>
        <v>1.63296E-2</v>
      </c>
      <c r="M28" s="117">
        <f>FracPoor*(FracRiskMalaria)*(0.7)</f>
        <v>2.5199999999999997E-2</v>
      </c>
      <c r="N28" s="117">
        <f>FracPoor*(FracRiskMalaria)*(0.7)</f>
        <v>2.5199999999999997E-2</v>
      </c>
      <c r="O28" s="117">
        <f>FracPoor*(FracRiskMalaria)*(0.7)</f>
        <v>2.5199999999999997E-2</v>
      </c>
    </row>
    <row r="29" spans="1:15" ht="15.75" customHeight="1" x14ac:dyDescent="0.15">
      <c r="B29" t="s">
        <v>123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2">
        <v>0</v>
      </c>
      <c r="J29" s="32">
        <v>0</v>
      </c>
      <c r="K29" s="32">
        <v>0</v>
      </c>
      <c r="L29" s="117">
        <f>FracPoor*(FracRiskMalaria)*(0.3)*(1-FracSchoolAttendance)</f>
        <v>6.9983999999999992E-3</v>
      </c>
      <c r="M29" s="117">
        <f>FracPoor*(FracRiskMalaria)*(0.3)</f>
        <v>1.0799999999999999E-2</v>
      </c>
      <c r="N29" s="117">
        <f>FracPoor*(FracRiskMalaria)*(0.3)</f>
        <v>1.0799999999999999E-2</v>
      </c>
      <c r="O29" s="117">
        <f>FracPoor*(FracRiskMalaria)*(0.3)</f>
        <v>1.0799999999999999E-2</v>
      </c>
    </row>
    <row r="30" spans="1:15" ht="15.75" customHeight="1" x14ac:dyDescent="0.15"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2">
        <v>0</v>
      </c>
      <c r="J30" s="32">
        <v>0</v>
      </c>
      <c r="K30" s="32">
        <v>0</v>
      </c>
      <c r="L30" s="117">
        <f>(1-FracPoor)*(FracRiskMalaria)*1*FracSchoolAttendance</f>
        <v>2.2527999999999999E-2</v>
      </c>
      <c r="M30" s="117">
        <v>0</v>
      </c>
      <c r="N30" s="117">
        <v>0</v>
      </c>
      <c r="O30" s="117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2">
        <v>0</v>
      </c>
      <c r="J31" s="32">
        <v>0</v>
      </c>
      <c r="K31" s="32">
        <v>0</v>
      </c>
      <c r="L31" s="117">
        <f>(1-FracPoor)*(FracRiskMalaria)*(0.49)*(1-FracSchoolAttendance)</f>
        <v>2.0321280000000001E-2</v>
      </c>
      <c r="M31" s="117">
        <f>(1-FracPoor)*(FracRiskMalaria)*(0.49)</f>
        <v>3.1359999999999999E-2</v>
      </c>
      <c r="N31" s="117">
        <f>(1-FracPoor)*(FracRiskMalaria)*(0.49)</f>
        <v>3.1359999999999999E-2</v>
      </c>
      <c r="O31" s="117">
        <f>(1-FracPoor)*(FracRiskMalaria)*(0.49)</f>
        <v>3.1359999999999999E-2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2">
        <v>0</v>
      </c>
      <c r="J32" s="32">
        <v>0</v>
      </c>
      <c r="K32" s="32">
        <v>0</v>
      </c>
      <c r="L32" s="117">
        <f>(1-FracPoor)*(FracRiskMalaria)*(0.21)*(1-FracSchoolAttendance)</f>
        <v>8.7091200000000007E-3</v>
      </c>
      <c r="M32" s="117">
        <f>(1-FracPoor)*(FracRiskMalaria)*(0.21)</f>
        <v>1.3440000000000001E-2</v>
      </c>
      <c r="N32" s="117">
        <f>(1-FracPoor)*(FracRiskMalaria)*(0.21)</f>
        <v>1.3440000000000001E-2</v>
      </c>
      <c r="O32" s="117">
        <f>(1-FracPoor)*(FracRiskMalaria)*(0.21)</f>
        <v>1.3440000000000001E-2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2">
        <v>0</v>
      </c>
      <c r="J33" s="32">
        <v>0</v>
      </c>
      <c r="K33" s="32">
        <v>0</v>
      </c>
      <c r="L33" s="117">
        <f>(1-FracPoor)*(FracRiskMalaria)*(0.3)*(1-FracSchoolAttendance)</f>
        <v>1.2441599999999999E-2</v>
      </c>
      <c r="M33" s="117">
        <f>(1-FracPoor)*(FracRiskMalaria)*(0.3)</f>
        <v>1.9199999999999998E-2</v>
      </c>
      <c r="N33" s="117">
        <f>(1-FracPoor)*(FracRiskMalaria)*(0.3)</f>
        <v>1.9199999999999998E-2</v>
      </c>
      <c r="O33" s="117">
        <f>(1-FracPoor)*(FracRiskMalaria)*(0.3)</f>
        <v>1.9199999999999998E-2</v>
      </c>
    </row>
    <row r="34" spans="1:15" ht="15.75" customHeight="1" x14ac:dyDescent="0.15">
      <c r="B34" t="s">
        <v>178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2">
        <v>0</v>
      </c>
      <c r="J34" s="32">
        <v>0</v>
      </c>
      <c r="K34" s="32">
        <v>0</v>
      </c>
      <c r="L34" s="118">
        <f>FPunmetNeed + FPCov</f>
        <v>0.1</v>
      </c>
      <c r="M34" s="118">
        <f>FPunmetNeed + FPCov</f>
        <v>0.1</v>
      </c>
      <c r="N34" s="118">
        <f>FPunmetNeed + FPCov</f>
        <v>0.1</v>
      </c>
      <c r="O34" s="118">
        <f>FPunmetNeed + FPCov</f>
        <v>0.1</v>
      </c>
    </row>
    <row r="35" spans="1:15" ht="15.75" customHeight="1" x14ac:dyDescent="0.15">
      <c r="B35" s="33" t="s">
        <v>259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2">
        <v>0</v>
      </c>
      <c r="J35" s="32">
        <v>0</v>
      </c>
      <c r="K35" s="32">
        <v>0</v>
      </c>
      <c r="L35" s="132">
        <f>SUM(NumNonPW)/SUM(WRAPop)</f>
        <v>0.91590132125078794</v>
      </c>
      <c r="M35" s="132">
        <f>SUM(NumNonPW)/SUM(WRAPop)</f>
        <v>0.91590132125078794</v>
      </c>
      <c r="N35" s="132">
        <f>SUM(NumNonPW)/SUM(WRAPop)</f>
        <v>0.91590132125078794</v>
      </c>
      <c r="O35" s="132">
        <f>SUM(NumNonPW)/SUM(WRAPop)</f>
        <v>0.91590132125078794</v>
      </c>
    </row>
    <row r="36" spans="1:15" ht="15.75" customHeight="1" x14ac:dyDescent="0.15">
      <c r="B36" s="9"/>
      <c r="C36" s="3"/>
      <c r="D36" s="3"/>
      <c r="E36" s="87"/>
      <c r="F36" s="87"/>
      <c r="G36" s="87"/>
      <c r="H36" s="87"/>
      <c r="I36" s="87"/>
    </row>
    <row r="37" spans="1:15" ht="15.75" customHeight="1" x14ac:dyDescent="0.15">
      <c r="A37" s="7" t="s">
        <v>76</v>
      </c>
      <c r="B37" t="s">
        <v>249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</row>
    <row r="38" spans="1:15" ht="15.75" customHeight="1" x14ac:dyDescent="0.15">
      <c r="B38" t="s">
        <v>250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</row>
    <row r="39" spans="1:15" ht="15.75" customHeight="1" x14ac:dyDescent="0.15">
      <c r="B39" t="s">
        <v>251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252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253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254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</row>
    <row r="43" spans="1:15" ht="15.75" customHeight="1" x14ac:dyDescent="0.15">
      <c r="B43" t="s">
        <v>255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</row>
    <row r="44" spans="1:15" ht="15.75" customHeight="1" x14ac:dyDescent="0.15">
      <c r="B44" s="4" t="s">
        <v>256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1</v>
      </c>
      <c r="I44" s="3">
        <v>1</v>
      </c>
      <c r="J44" s="3">
        <v>1</v>
      </c>
      <c r="K44" s="3">
        <v>1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s="4" t="s">
        <v>257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1</v>
      </c>
      <c r="I45" s="3">
        <v>1</v>
      </c>
      <c r="J45" s="3">
        <v>1</v>
      </c>
      <c r="K45" s="3">
        <v>1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258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A47" s="8"/>
      <c r="B47" s="9" t="s">
        <v>75</v>
      </c>
      <c r="C47" s="120">
        <f>FracRiskMalaria</f>
        <v>0.1</v>
      </c>
      <c r="D47" s="120">
        <f>FracRiskMalaria</f>
        <v>0.1</v>
      </c>
      <c r="E47" s="120">
        <f>FracRiskMalaria</f>
        <v>0.1</v>
      </c>
      <c r="F47" s="120">
        <f>FracRiskMalaria</f>
        <v>0.1</v>
      </c>
      <c r="G47" s="120">
        <f>FracRiskMalaria</f>
        <v>0.1</v>
      </c>
      <c r="H47" s="120">
        <f>FracRiskMalaria</f>
        <v>0.1</v>
      </c>
      <c r="I47" s="120">
        <f>FracRiskMalaria</f>
        <v>0.1</v>
      </c>
      <c r="J47" s="120">
        <f>FracRiskMalaria</f>
        <v>0.1</v>
      </c>
      <c r="K47" s="120">
        <f>FracRiskMalaria</f>
        <v>0.1</v>
      </c>
      <c r="L47" s="120">
        <f>FracRiskMalaria</f>
        <v>0.1</v>
      </c>
      <c r="M47" s="120">
        <f>FracRiskMalaria</f>
        <v>0.1</v>
      </c>
      <c r="N47" s="120">
        <f>FracRiskMalaria</f>
        <v>0.1</v>
      </c>
      <c r="O47" s="120">
        <f>FracRiskMalaria</f>
        <v>0.1</v>
      </c>
    </row>
    <row r="48" spans="1:15" s="8" customFormat="1" ht="15.75" customHeight="1" x14ac:dyDescent="0.15">
      <c r="B48" s="9" t="s">
        <v>137</v>
      </c>
      <c r="C48" s="91">
        <v>0</v>
      </c>
      <c r="D48" s="91">
        <v>0</v>
      </c>
      <c r="E48" s="120">
        <f>FracEatingWheat</f>
        <v>0.12</v>
      </c>
      <c r="F48" s="120">
        <f>FracEatingWheat</f>
        <v>0.12</v>
      </c>
      <c r="G48" s="120">
        <f>FracEatingWheat</f>
        <v>0.12</v>
      </c>
      <c r="H48" s="120">
        <f>FracEatingWheat</f>
        <v>0.12</v>
      </c>
      <c r="I48" s="120">
        <f>FracEatingWheat</f>
        <v>0.12</v>
      </c>
      <c r="J48" s="120">
        <f>FracEatingWheat</f>
        <v>0.12</v>
      </c>
      <c r="K48" s="120">
        <f>FracEatingWheat</f>
        <v>0.12</v>
      </c>
      <c r="L48" s="120">
        <f>FracEatingWheat</f>
        <v>0.12</v>
      </c>
      <c r="M48" s="120">
        <f>FracEatingWheat</f>
        <v>0.12</v>
      </c>
      <c r="N48" s="120">
        <f>FracEatingWheat</f>
        <v>0.12</v>
      </c>
      <c r="O48" s="120">
        <f>FracEatingWheat</f>
        <v>0.12</v>
      </c>
    </row>
    <row r="49" spans="2:15" s="8" customFormat="1" ht="15.75" customHeight="1" x14ac:dyDescent="0.15">
      <c r="B49" s="9" t="s">
        <v>138</v>
      </c>
      <c r="C49" s="91">
        <v>0</v>
      </c>
      <c r="D49" s="91">
        <v>0</v>
      </c>
      <c r="E49" s="119">
        <f>FracEatMaize</f>
        <v>0.05</v>
      </c>
      <c r="F49" s="119">
        <f>FracEatMaize</f>
        <v>0.05</v>
      </c>
      <c r="G49" s="119">
        <f>FracEatMaize</f>
        <v>0.05</v>
      </c>
      <c r="H49" s="119">
        <f>FracEatMaize</f>
        <v>0.05</v>
      </c>
      <c r="I49" s="119">
        <f>FracEatMaize</f>
        <v>0.05</v>
      </c>
      <c r="J49" s="119">
        <f>FracEatMaize</f>
        <v>0.05</v>
      </c>
      <c r="K49" s="119">
        <f>FracEatMaize</f>
        <v>0.05</v>
      </c>
      <c r="L49" s="119">
        <f>FracEatMaize</f>
        <v>0.05</v>
      </c>
      <c r="M49" s="119">
        <f>FracEatMaize</f>
        <v>0.05</v>
      </c>
      <c r="N49" s="119">
        <f>FracEatMaize</f>
        <v>0.05</v>
      </c>
      <c r="O49" s="119">
        <f>FracEatMaize</f>
        <v>0.05</v>
      </c>
    </row>
    <row r="50" spans="2:15" s="8" customFormat="1" ht="15.75" customHeight="1" x14ac:dyDescent="0.15">
      <c r="B50" s="9" t="s">
        <v>139</v>
      </c>
      <c r="C50" s="91">
        <v>0</v>
      </c>
      <c r="D50" s="91">
        <v>0</v>
      </c>
      <c r="E50" s="119">
        <f>FracEatRice</f>
        <v>0.8</v>
      </c>
      <c r="F50" s="119">
        <f>FracEatRice</f>
        <v>0.8</v>
      </c>
      <c r="G50" s="119">
        <f>FracEatRice</f>
        <v>0.8</v>
      </c>
      <c r="H50" s="119">
        <f>FracEatRice</f>
        <v>0.8</v>
      </c>
      <c r="I50" s="119">
        <f>FracEatRice</f>
        <v>0.8</v>
      </c>
      <c r="J50" s="119">
        <f>FracEatRice</f>
        <v>0.8</v>
      </c>
      <c r="K50" s="119">
        <f>FracEatRice</f>
        <v>0.8</v>
      </c>
      <c r="L50" s="119">
        <f>FracEatRice</f>
        <v>0.8</v>
      </c>
      <c r="M50" s="119">
        <f>FracEatRice</f>
        <v>0.8</v>
      </c>
      <c r="N50" s="119">
        <f>FracEatRice</f>
        <v>0.8</v>
      </c>
      <c r="O50" s="119">
        <f>FracEatRice</f>
        <v>0.8</v>
      </c>
    </row>
    <row r="51" spans="2:15" ht="15" customHeight="1" x14ac:dyDescent="0.15">
      <c r="B51" s="4" t="s">
        <v>91</v>
      </c>
      <c r="C51" s="3">
        <v>0</v>
      </c>
      <c r="D51" s="3">
        <v>0</v>
      </c>
      <c r="E51" s="23">
        <v>1</v>
      </c>
      <c r="F51" s="23">
        <v>1</v>
      </c>
      <c r="G51" s="23">
        <v>1</v>
      </c>
      <c r="H51" s="23">
        <v>1</v>
      </c>
      <c r="I51" s="23">
        <v>1</v>
      </c>
      <c r="J51" s="23">
        <v>1</v>
      </c>
      <c r="K51" s="23">
        <v>1</v>
      </c>
      <c r="L51" s="23">
        <v>1</v>
      </c>
      <c r="M51" s="23">
        <v>1</v>
      </c>
      <c r="N51" s="23">
        <v>1</v>
      </c>
      <c r="O51" s="23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07D7C-27C3-0245-A9EE-CC3E398BBA0F}">
  <sheetPr>
    <tabColor rgb="FF92D050"/>
  </sheetPr>
  <dimension ref="A1:K32"/>
  <sheetViews>
    <sheetView workbookViewId="0">
      <selection activeCell="E49" sqref="E49"/>
    </sheetView>
    <sheetView workbookViewId="1"/>
  </sheetViews>
  <sheetFormatPr baseColWidth="10" defaultRowHeight="13" x14ac:dyDescent="0.15"/>
  <cols>
    <col min="1" max="1" width="12.5" bestFit="1" customWidth="1"/>
    <col min="2" max="2" width="15.6640625" bestFit="1" customWidth="1"/>
    <col min="3" max="11" width="7.1640625" bestFit="1" customWidth="1"/>
  </cols>
  <sheetData>
    <row r="1" spans="1:11" s="7" customFormat="1" x14ac:dyDescent="0.15">
      <c r="A1" s="7" t="s">
        <v>266</v>
      </c>
      <c r="B1" s="7" t="s">
        <v>186</v>
      </c>
      <c r="C1" s="7">
        <v>2010</v>
      </c>
      <c r="D1" s="7">
        <v>2011</v>
      </c>
      <c r="E1" s="7">
        <v>2012</v>
      </c>
      <c r="F1" s="7">
        <v>2013</v>
      </c>
      <c r="G1" s="7">
        <v>2014</v>
      </c>
      <c r="H1" s="7">
        <v>2015</v>
      </c>
      <c r="I1" s="7">
        <v>2016</v>
      </c>
      <c r="J1" s="7">
        <v>2017</v>
      </c>
      <c r="K1" s="7">
        <v>2018</v>
      </c>
    </row>
    <row r="2" spans="1:11" x14ac:dyDescent="0.15">
      <c r="A2" s="7" t="s">
        <v>13</v>
      </c>
      <c r="B2" s="7" t="s">
        <v>6</v>
      </c>
      <c r="C2" s="67">
        <f>SUM(Distributions!$C$4:$C$5)</f>
        <v>0.13999999999999999</v>
      </c>
      <c r="D2" s="67">
        <f>SUM(Distributions!$C$4:$C$5)</f>
        <v>0.13999999999999999</v>
      </c>
      <c r="E2" s="67">
        <f>SUM(Distributions!$C$4:$C$5)</f>
        <v>0.13999999999999999</v>
      </c>
      <c r="F2" s="67">
        <f>SUM(Distributions!$C$4:$C$5)</f>
        <v>0.13999999999999999</v>
      </c>
      <c r="G2" s="67">
        <f>SUM(Distributions!$C$4:$C$5)</f>
        <v>0.13999999999999999</v>
      </c>
      <c r="H2" s="67">
        <f>SUM(Distributions!$C$4:$C$5)</f>
        <v>0.13999999999999999</v>
      </c>
      <c r="I2" s="67">
        <f>SUM(Distributions!$C$4:$C$5)</f>
        <v>0.13999999999999999</v>
      </c>
      <c r="J2" s="67">
        <f>SUM(Distributions!$C$4:$C$5)</f>
        <v>0.13999999999999999</v>
      </c>
      <c r="K2" s="67">
        <f>SUM(Distributions!$C$4:$C$5)</f>
        <v>0.13999999999999999</v>
      </c>
    </row>
    <row r="3" spans="1:11" x14ac:dyDescent="0.15">
      <c r="B3" s="7" t="s">
        <v>7</v>
      </c>
      <c r="C3" s="67">
        <f>SUM(Distributions!D$4:D$5)</f>
        <v>0.13999999999999999</v>
      </c>
      <c r="D3" s="67">
        <f>SUM(Distributions!D$4:D$5)</f>
        <v>0.13999999999999999</v>
      </c>
      <c r="E3" s="67">
        <f>SUM(Distributions!D$4:D$5)</f>
        <v>0.13999999999999999</v>
      </c>
      <c r="F3" s="67">
        <f>SUM(Distributions!D$4:D$5)</f>
        <v>0.13999999999999999</v>
      </c>
      <c r="G3" s="67">
        <f>SUM(Distributions!D$4:D$5)</f>
        <v>0.13999999999999999</v>
      </c>
      <c r="H3" s="67">
        <f>SUM(Distributions!D$4:D$5)</f>
        <v>0.13999999999999999</v>
      </c>
      <c r="I3" s="67">
        <f>SUM(Distributions!D$4:D$5)</f>
        <v>0.13999999999999999</v>
      </c>
      <c r="J3" s="67">
        <f>SUM(Distributions!D$4:D$5)</f>
        <v>0.13999999999999999</v>
      </c>
      <c r="K3" s="67">
        <f>SUM(Distributions!D$4:D$5)</f>
        <v>0.13999999999999999</v>
      </c>
    </row>
    <row r="4" spans="1:11" x14ac:dyDescent="0.15">
      <c r="B4" s="7" t="s">
        <v>8</v>
      </c>
      <c r="C4" s="67">
        <f>SUM(Distributions!E$4:E$5)</f>
        <v>0.19600000000000001</v>
      </c>
      <c r="D4" s="67">
        <f>SUM(Distributions!E$4:E$5)</f>
        <v>0.19600000000000001</v>
      </c>
      <c r="E4" s="67">
        <f>SUM(Distributions!E$4:E$5)</f>
        <v>0.19600000000000001</v>
      </c>
      <c r="F4" s="67">
        <f>SUM(Distributions!E$4:E$5)</f>
        <v>0.19600000000000001</v>
      </c>
      <c r="G4" s="67">
        <f>SUM(Distributions!E$4:E$5)</f>
        <v>0.19600000000000001</v>
      </c>
      <c r="H4" s="67">
        <f>SUM(Distributions!E$4:E$5)</f>
        <v>0.19600000000000001</v>
      </c>
      <c r="I4" s="67">
        <f>SUM(Distributions!E$4:E$5)</f>
        <v>0.19600000000000001</v>
      </c>
      <c r="J4" s="67">
        <f>SUM(Distributions!E$4:E$5)</f>
        <v>0.19600000000000001</v>
      </c>
      <c r="K4" s="67">
        <f>SUM(Distributions!E$4:E$5)</f>
        <v>0.19600000000000001</v>
      </c>
    </row>
    <row r="5" spans="1:11" x14ac:dyDescent="0.15">
      <c r="B5" s="7" t="s">
        <v>9</v>
      </c>
      <c r="C5" s="67">
        <f>SUM(Distributions!F$4:F$5)</f>
        <v>0.38100000000000001</v>
      </c>
      <c r="D5" s="67">
        <f>SUM(Distributions!F$4:F$5)</f>
        <v>0.38100000000000001</v>
      </c>
      <c r="E5" s="67">
        <f>SUM(Distributions!F$4:F$5)</f>
        <v>0.38100000000000001</v>
      </c>
      <c r="F5" s="67">
        <f>SUM(Distributions!F$4:F$5)</f>
        <v>0.38100000000000001</v>
      </c>
      <c r="G5" s="67">
        <f>SUM(Distributions!F$4:F$5)</f>
        <v>0.38100000000000001</v>
      </c>
      <c r="H5" s="67">
        <f>SUM(Distributions!F$4:F$5)</f>
        <v>0.38100000000000001</v>
      </c>
      <c r="I5" s="67">
        <f>SUM(Distributions!F$4:F$5)</f>
        <v>0.38100000000000001</v>
      </c>
      <c r="J5" s="67">
        <f>SUM(Distributions!F$4:F$5)</f>
        <v>0.38100000000000001</v>
      </c>
      <c r="K5" s="67">
        <f>SUM(Distributions!F$4:F$5)</f>
        <v>0.38100000000000001</v>
      </c>
    </row>
    <row r="6" spans="1:11" x14ac:dyDescent="0.15">
      <c r="B6" s="7" t="s">
        <v>10</v>
      </c>
      <c r="C6" s="67">
        <f>SUM(Distributions!G$4:G$5)</f>
        <v>0.41400000000000003</v>
      </c>
      <c r="D6" s="67">
        <f>SUM(Distributions!G$4:G$5)</f>
        <v>0.41400000000000003</v>
      </c>
      <c r="E6" s="67">
        <f>SUM(Distributions!G$4:G$5)</f>
        <v>0.41400000000000003</v>
      </c>
      <c r="F6" s="67">
        <f>SUM(Distributions!G$4:G$5)</f>
        <v>0.41400000000000003</v>
      </c>
      <c r="G6" s="67">
        <f>SUM(Distributions!G$4:G$5)</f>
        <v>0.41400000000000003</v>
      </c>
      <c r="H6" s="67">
        <f>SUM(Distributions!G$4:G$5)</f>
        <v>0.41400000000000003</v>
      </c>
      <c r="I6" s="67">
        <f>SUM(Distributions!G$4:G$5)</f>
        <v>0.41400000000000003</v>
      </c>
      <c r="J6" s="67">
        <f>SUM(Distributions!G$4:G$5)</f>
        <v>0.41400000000000003</v>
      </c>
      <c r="K6" s="67">
        <f>SUM(Distributions!G$4:G$5)</f>
        <v>0.41400000000000003</v>
      </c>
    </row>
    <row r="8" spans="1:11" x14ac:dyDescent="0.15">
      <c r="A8" s="7" t="s">
        <v>27</v>
      </c>
      <c r="B8" s="7" t="s">
        <v>6</v>
      </c>
      <c r="K8" s="67">
        <f>SUM(Distributions!C10:C11)</f>
        <v>0.19900000000000001</v>
      </c>
    </row>
    <row r="9" spans="1:11" x14ac:dyDescent="0.15">
      <c r="B9" s="7" t="s">
        <v>7</v>
      </c>
      <c r="K9" s="67">
        <f>SUM(Distributions!D10:D11)</f>
        <v>0.19900000000000001</v>
      </c>
    </row>
    <row r="10" spans="1:11" x14ac:dyDescent="0.15">
      <c r="B10" s="7" t="s">
        <v>8</v>
      </c>
      <c r="K10" s="67">
        <f>SUM(Distributions!E10:E11)</f>
        <v>0.182</v>
      </c>
    </row>
    <row r="11" spans="1:11" x14ac:dyDescent="0.15">
      <c r="B11" s="7" t="s">
        <v>9</v>
      </c>
      <c r="K11" s="67">
        <f>SUM(Distributions!F10:F11)</f>
        <v>0.151</v>
      </c>
    </row>
    <row r="12" spans="1:11" x14ac:dyDescent="0.15">
      <c r="B12" s="7" t="s">
        <v>10</v>
      </c>
      <c r="K12" s="67">
        <f>SUM(Distributions!G10:G11)</f>
        <v>0.126</v>
      </c>
    </row>
    <row r="14" spans="1:11" x14ac:dyDescent="0.15">
      <c r="A14" s="7" t="s">
        <v>197</v>
      </c>
      <c r="B14" s="7" t="s">
        <v>6</v>
      </c>
      <c r="K14" s="67">
        <f>'Prevalence of anaemia'!C3</f>
        <v>0.05</v>
      </c>
    </row>
    <row r="15" spans="1:11" x14ac:dyDescent="0.15">
      <c r="B15" s="7" t="s">
        <v>7</v>
      </c>
      <c r="K15" s="67">
        <f>'Prevalence of anaemia'!D3</f>
        <v>0.05</v>
      </c>
    </row>
    <row r="16" spans="1:11" x14ac:dyDescent="0.15">
      <c r="B16" s="7" t="s">
        <v>8</v>
      </c>
      <c r="K16" s="67">
        <f>'Prevalence of anaemia'!E3</f>
        <v>0.31079999999999997</v>
      </c>
    </row>
    <row r="17" spans="1:11" x14ac:dyDescent="0.15">
      <c r="B17" s="7" t="s">
        <v>9</v>
      </c>
      <c r="K17" s="67">
        <f>'Prevalence of anaemia'!F3</f>
        <v>0.23100000000000001</v>
      </c>
    </row>
    <row r="18" spans="1:11" x14ac:dyDescent="0.15">
      <c r="B18" s="7" t="s">
        <v>10</v>
      </c>
      <c r="K18" s="67">
        <f>'Prevalence of anaemia'!G3</f>
        <v>0.17934</v>
      </c>
    </row>
    <row r="19" spans="1:11" x14ac:dyDescent="0.15">
      <c r="B19" s="7" t="s">
        <v>108</v>
      </c>
      <c r="K19" s="67">
        <f>'Prevalence of anaemia'!H3</f>
        <v>0.23580000000000001</v>
      </c>
    </row>
    <row r="20" spans="1:11" x14ac:dyDescent="0.15">
      <c r="B20" s="7" t="s">
        <v>109</v>
      </c>
      <c r="K20" s="67">
        <f>'Prevalence of anaemia'!I3</f>
        <v>0.23580000000000001</v>
      </c>
    </row>
    <row r="21" spans="1:11" x14ac:dyDescent="0.15">
      <c r="B21" s="7" t="s">
        <v>110</v>
      </c>
      <c r="K21" s="67">
        <f>'Prevalence of anaemia'!J3</f>
        <v>0.23580000000000001</v>
      </c>
    </row>
    <row r="22" spans="1:11" x14ac:dyDescent="0.15">
      <c r="B22" s="7" t="s">
        <v>111</v>
      </c>
      <c r="K22" s="67">
        <f>'Prevalence of anaemia'!K3</f>
        <v>0.23580000000000001</v>
      </c>
    </row>
    <row r="23" spans="1:11" x14ac:dyDescent="0.15">
      <c r="B23" s="7" t="s">
        <v>104</v>
      </c>
      <c r="K23" s="67">
        <f>'Prevalence of anaemia'!L3</f>
        <v>0.2238</v>
      </c>
    </row>
    <row r="24" spans="1:11" x14ac:dyDescent="0.15">
      <c r="B24" s="7" t="s">
        <v>105</v>
      </c>
      <c r="K24" s="67">
        <f>'Prevalence of anaemia'!M3</f>
        <v>0.2238</v>
      </c>
    </row>
    <row r="25" spans="1:11" x14ac:dyDescent="0.15">
      <c r="B25" s="7" t="s">
        <v>106</v>
      </c>
      <c r="K25" s="67">
        <f>'Prevalence of anaemia'!N3</f>
        <v>0.2238</v>
      </c>
    </row>
    <row r="26" spans="1:11" x14ac:dyDescent="0.15">
      <c r="B26" s="7" t="s">
        <v>107</v>
      </c>
      <c r="K26" s="67">
        <f>'Prevalence of anaemia'!O3</f>
        <v>0.2238</v>
      </c>
    </row>
    <row r="28" spans="1:11" x14ac:dyDescent="0.15">
      <c r="A28" s="7" t="s">
        <v>36</v>
      </c>
      <c r="B28" s="7" t="s">
        <v>6</v>
      </c>
    </row>
    <row r="29" spans="1:11" x14ac:dyDescent="0.15">
      <c r="B29" s="7" t="s">
        <v>7</v>
      </c>
    </row>
    <row r="30" spans="1:11" x14ac:dyDescent="0.15">
      <c r="B30" s="7" t="s">
        <v>8</v>
      </c>
    </row>
    <row r="31" spans="1:11" x14ac:dyDescent="0.15">
      <c r="B31" s="7" t="s">
        <v>9</v>
      </c>
    </row>
    <row r="32" spans="1:11" x14ac:dyDescent="0.15">
      <c r="B32" s="7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 tint="0.39997558519241921"/>
  </sheetPr>
  <dimension ref="A1:O54"/>
  <sheetViews>
    <sheetView workbookViewId="0">
      <selection activeCell="B49" sqref="B49"/>
    </sheetView>
    <sheetView workbookViewId="1">
      <selection activeCell="D4" sqref="D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7" t="s">
        <v>73</v>
      </c>
      <c r="B1" s="1" t="s">
        <v>196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108</v>
      </c>
      <c r="I1" s="7" t="s">
        <v>109</v>
      </c>
      <c r="J1" s="7" t="s">
        <v>110</v>
      </c>
      <c r="K1" s="7" t="s">
        <v>111</v>
      </c>
      <c r="L1" s="7" t="s">
        <v>104</v>
      </c>
      <c r="M1" s="7" t="s">
        <v>105</v>
      </c>
      <c r="N1" s="7" t="s">
        <v>106</v>
      </c>
      <c r="O1" s="7" t="s">
        <v>107</v>
      </c>
    </row>
    <row r="2" spans="1:15" ht="15.75" customHeight="1" x14ac:dyDescent="0.15">
      <c r="A2" s="7" t="s">
        <v>69</v>
      </c>
      <c r="B2" s="4" t="s">
        <v>133</v>
      </c>
      <c r="C2" s="32">
        <v>0</v>
      </c>
      <c r="D2" s="32">
        <v>0</v>
      </c>
      <c r="E2" s="32">
        <v>1</v>
      </c>
      <c r="F2" s="32">
        <v>1</v>
      </c>
      <c r="G2" s="32">
        <v>1</v>
      </c>
      <c r="H2" s="32">
        <v>0</v>
      </c>
      <c r="I2" s="32">
        <v>0</v>
      </c>
      <c r="J2" s="32">
        <v>0</v>
      </c>
      <c r="K2" s="32">
        <v>0</v>
      </c>
      <c r="L2" s="32">
        <v>0</v>
      </c>
      <c r="M2" s="32">
        <v>0</v>
      </c>
      <c r="N2" s="32">
        <v>0</v>
      </c>
      <c r="O2" s="32">
        <v>0</v>
      </c>
    </row>
    <row r="3" spans="1:15" ht="15.75" customHeight="1" x14ac:dyDescent="0.15">
      <c r="B3" s="4" t="s">
        <v>47</v>
      </c>
      <c r="C3" s="32">
        <v>0</v>
      </c>
      <c r="D3" s="32">
        <v>0</v>
      </c>
      <c r="E3" s="32">
        <v>1</v>
      </c>
      <c r="F3" s="32">
        <v>1</v>
      </c>
      <c r="G3" s="32">
        <v>1</v>
      </c>
      <c r="H3" s="32">
        <v>0</v>
      </c>
      <c r="I3" s="32">
        <v>0</v>
      </c>
      <c r="J3" s="32">
        <v>0</v>
      </c>
      <c r="K3" s="32">
        <v>0</v>
      </c>
      <c r="L3" s="32">
        <v>0</v>
      </c>
      <c r="M3" s="32">
        <v>0</v>
      </c>
      <c r="N3" s="32">
        <v>0</v>
      </c>
      <c r="O3" s="32">
        <v>0</v>
      </c>
    </row>
    <row r="4" spans="1:15" ht="15.75" customHeight="1" x14ac:dyDescent="0.15">
      <c r="B4" s="4" t="s">
        <v>120</v>
      </c>
      <c r="C4" s="32">
        <v>0</v>
      </c>
      <c r="D4" s="32">
        <v>0</v>
      </c>
      <c r="E4" s="32">
        <v>1</v>
      </c>
      <c r="F4" s="32">
        <v>1</v>
      </c>
      <c r="G4" s="32">
        <v>0</v>
      </c>
      <c r="H4" s="32">
        <v>0</v>
      </c>
      <c r="I4" s="32">
        <v>0</v>
      </c>
      <c r="J4" s="32">
        <v>0</v>
      </c>
      <c r="K4" s="32">
        <v>0</v>
      </c>
      <c r="L4" s="32">
        <v>0</v>
      </c>
      <c r="M4" s="32">
        <v>0</v>
      </c>
      <c r="N4" s="32">
        <v>0</v>
      </c>
      <c r="O4" s="32">
        <v>0</v>
      </c>
    </row>
    <row r="5" spans="1:15" ht="15.75" customHeight="1" x14ac:dyDescent="0.15">
      <c r="B5" s="4" t="s">
        <v>72</v>
      </c>
      <c r="C5" s="32">
        <v>0</v>
      </c>
      <c r="D5" s="32">
        <v>0</v>
      </c>
      <c r="E5" s="32">
        <v>1</v>
      </c>
      <c r="F5" s="32">
        <v>1</v>
      </c>
      <c r="G5" s="32">
        <v>0</v>
      </c>
      <c r="H5" s="32">
        <v>0</v>
      </c>
      <c r="I5" s="32">
        <v>0</v>
      </c>
      <c r="J5" s="32">
        <v>0</v>
      </c>
      <c r="K5" s="32">
        <v>0</v>
      </c>
      <c r="L5" s="32">
        <v>0</v>
      </c>
      <c r="M5" s="32">
        <v>0</v>
      </c>
      <c r="N5" s="32">
        <v>0</v>
      </c>
      <c r="O5" s="32">
        <v>0</v>
      </c>
    </row>
    <row r="6" spans="1:15" ht="15.75" customHeight="1" x14ac:dyDescent="0.15">
      <c r="B6" s="4" t="s">
        <v>129</v>
      </c>
      <c r="C6" s="32">
        <v>0</v>
      </c>
      <c r="D6" s="32">
        <v>0</v>
      </c>
      <c r="E6" s="32">
        <v>1</v>
      </c>
      <c r="F6" s="32">
        <v>1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  <c r="L6" s="32">
        <v>0</v>
      </c>
      <c r="M6" s="32">
        <v>0</v>
      </c>
      <c r="N6" s="32">
        <v>0</v>
      </c>
      <c r="O6" s="32">
        <v>0</v>
      </c>
    </row>
    <row r="7" spans="1:15" ht="15.75" customHeight="1" x14ac:dyDescent="0.15">
      <c r="B7" s="4" t="s">
        <v>71</v>
      </c>
      <c r="C7" s="32">
        <v>0</v>
      </c>
      <c r="D7" s="32">
        <v>0</v>
      </c>
      <c r="E7" s="32">
        <v>1</v>
      </c>
      <c r="F7" s="32">
        <v>1</v>
      </c>
      <c r="G7" s="32">
        <v>1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32">
        <v>0</v>
      </c>
      <c r="N7" s="32">
        <v>0</v>
      </c>
      <c r="O7" s="32">
        <v>0</v>
      </c>
    </row>
    <row r="8" spans="1:15" ht="15.75" customHeight="1" x14ac:dyDescent="0.15">
      <c r="B8" s="4" t="s">
        <v>130</v>
      </c>
      <c r="C8" s="32">
        <v>0</v>
      </c>
      <c r="D8" s="32">
        <v>0</v>
      </c>
      <c r="E8" s="32">
        <v>1</v>
      </c>
      <c r="F8" s="32">
        <v>1</v>
      </c>
      <c r="G8" s="32">
        <v>1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</row>
    <row r="9" spans="1:15" ht="15.75" customHeight="1" x14ac:dyDescent="0.15">
      <c r="B9" s="4" t="s">
        <v>136</v>
      </c>
      <c r="C9" s="92">
        <v>0</v>
      </c>
      <c r="D9" s="92">
        <v>1</v>
      </c>
      <c r="E9" s="32">
        <v>1</v>
      </c>
      <c r="F9" s="32">
        <v>1</v>
      </c>
      <c r="G9" s="92">
        <v>1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32">
        <v>0</v>
      </c>
    </row>
    <row r="10" spans="1:15" ht="15.75" customHeight="1" x14ac:dyDescent="0.15">
      <c r="B10" s="4" t="s">
        <v>144</v>
      </c>
      <c r="C10" s="92">
        <v>0</v>
      </c>
      <c r="D10" s="92">
        <v>1</v>
      </c>
      <c r="E10" s="92">
        <v>1</v>
      </c>
      <c r="F10" s="92">
        <v>1</v>
      </c>
      <c r="G10" s="92">
        <v>1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2">
        <v>0</v>
      </c>
    </row>
    <row r="11" spans="1:15" ht="15.75" customHeight="1" x14ac:dyDescent="0.15">
      <c r="B11" s="4" t="s">
        <v>145</v>
      </c>
      <c r="C11" s="92">
        <v>0</v>
      </c>
      <c r="D11" s="92">
        <v>1</v>
      </c>
      <c r="E11" s="92">
        <v>1</v>
      </c>
      <c r="F11" s="92">
        <v>1</v>
      </c>
      <c r="G11" s="92">
        <v>1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  <c r="M11" s="32">
        <v>0</v>
      </c>
      <c r="N11" s="32">
        <v>0</v>
      </c>
      <c r="O11" s="32">
        <v>0</v>
      </c>
    </row>
    <row r="12" spans="1:15" ht="15.75" customHeight="1" x14ac:dyDescent="0.15"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</row>
    <row r="13" spans="1:15" ht="15.75" customHeight="1" x14ac:dyDescent="0.15">
      <c r="A13" s="7" t="s">
        <v>70</v>
      </c>
      <c r="B13" t="s">
        <v>53</v>
      </c>
      <c r="C13" s="32">
        <v>0</v>
      </c>
      <c r="D13" s="32">
        <v>0</v>
      </c>
      <c r="E13" s="32">
        <v>0</v>
      </c>
      <c r="F13" s="32">
        <v>0</v>
      </c>
      <c r="G13" s="32">
        <v>0</v>
      </c>
      <c r="H13" s="32">
        <v>1</v>
      </c>
      <c r="I13" s="32">
        <v>1</v>
      </c>
      <c r="J13" s="32">
        <v>1</v>
      </c>
      <c r="K13" s="32">
        <v>1</v>
      </c>
      <c r="L13" s="32">
        <v>0</v>
      </c>
      <c r="M13" s="32">
        <v>0</v>
      </c>
      <c r="N13" s="32">
        <v>0</v>
      </c>
      <c r="O13" s="32">
        <v>0</v>
      </c>
    </row>
    <row r="14" spans="1:15" ht="15.75" customHeight="1" x14ac:dyDescent="0.15">
      <c r="A14" s="7"/>
      <c r="B14" t="s">
        <v>128</v>
      </c>
      <c r="C14" s="32">
        <v>0</v>
      </c>
      <c r="D14" s="32">
        <v>0</v>
      </c>
      <c r="E14" s="32">
        <v>0</v>
      </c>
      <c r="F14" s="32">
        <v>0</v>
      </c>
      <c r="G14" s="32">
        <v>0</v>
      </c>
      <c r="H14" s="32">
        <v>1</v>
      </c>
      <c r="I14" s="32">
        <v>1</v>
      </c>
      <c r="J14" s="32">
        <v>1</v>
      </c>
      <c r="K14" s="32">
        <v>1</v>
      </c>
      <c r="L14" s="32">
        <v>0</v>
      </c>
      <c r="M14" s="32">
        <v>0</v>
      </c>
      <c r="N14" s="32">
        <v>0</v>
      </c>
      <c r="O14" s="32">
        <v>0</v>
      </c>
    </row>
    <row r="15" spans="1:15" ht="15.75" customHeight="1" x14ac:dyDescent="0.15">
      <c r="B15" t="s">
        <v>131</v>
      </c>
      <c r="C15" s="32">
        <v>0</v>
      </c>
      <c r="D15" s="32">
        <v>0</v>
      </c>
      <c r="E15" s="32">
        <v>0</v>
      </c>
      <c r="F15" s="32">
        <v>0</v>
      </c>
      <c r="G15" s="32">
        <v>0</v>
      </c>
      <c r="H15" s="32">
        <v>1</v>
      </c>
      <c r="I15" s="32">
        <v>1</v>
      </c>
      <c r="J15" s="32">
        <v>1</v>
      </c>
      <c r="K15" s="32">
        <v>1</v>
      </c>
      <c r="L15" s="32">
        <v>0</v>
      </c>
      <c r="M15" s="32">
        <v>0</v>
      </c>
      <c r="N15" s="32">
        <v>0</v>
      </c>
      <c r="O15" s="32">
        <v>0</v>
      </c>
    </row>
    <row r="16" spans="1:15" ht="15.75" customHeight="1" x14ac:dyDescent="0.15">
      <c r="B16" s="4" t="s">
        <v>74</v>
      </c>
      <c r="C16" s="32">
        <v>0</v>
      </c>
      <c r="D16" s="32">
        <v>0</v>
      </c>
      <c r="E16" s="32">
        <v>0</v>
      </c>
      <c r="F16" s="32">
        <v>0</v>
      </c>
      <c r="G16" s="32">
        <v>0</v>
      </c>
      <c r="H16" s="32">
        <v>1</v>
      </c>
      <c r="I16" s="32">
        <v>1</v>
      </c>
      <c r="J16" s="32">
        <v>1</v>
      </c>
      <c r="K16" s="32">
        <v>1</v>
      </c>
      <c r="L16" s="32">
        <v>0</v>
      </c>
      <c r="M16" s="32">
        <v>0</v>
      </c>
      <c r="N16" s="32">
        <v>0</v>
      </c>
      <c r="O16" s="32">
        <v>0</v>
      </c>
    </row>
    <row r="17" spans="1:15" ht="15.75" customHeight="1" x14ac:dyDescent="0.15">
      <c r="B17" s="4" t="s">
        <v>132</v>
      </c>
      <c r="C17" s="32">
        <v>0</v>
      </c>
      <c r="D17" s="32">
        <v>0</v>
      </c>
      <c r="E17" s="32">
        <v>0</v>
      </c>
      <c r="F17" s="32">
        <v>0</v>
      </c>
      <c r="G17" s="32">
        <v>0</v>
      </c>
      <c r="H17" s="32">
        <v>1</v>
      </c>
      <c r="I17" s="32">
        <v>1</v>
      </c>
      <c r="J17" s="32">
        <v>1</v>
      </c>
      <c r="K17" s="32">
        <v>1</v>
      </c>
      <c r="L17" s="32">
        <v>0</v>
      </c>
      <c r="M17" s="32">
        <v>0</v>
      </c>
      <c r="N17" s="32">
        <v>0</v>
      </c>
      <c r="O17" s="32">
        <v>0</v>
      </c>
    </row>
    <row r="18" spans="1:15" ht="16" customHeight="1" x14ac:dyDescent="0.15">
      <c r="B18" t="s">
        <v>112</v>
      </c>
      <c r="C18" s="32">
        <v>0</v>
      </c>
      <c r="D18" s="32">
        <v>0</v>
      </c>
      <c r="E18" s="32">
        <v>0</v>
      </c>
      <c r="F18" s="32">
        <v>0</v>
      </c>
      <c r="G18" s="32">
        <v>0</v>
      </c>
      <c r="H18" s="32">
        <v>1</v>
      </c>
      <c r="I18" s="32">
        <v>1</v>
      </c>
      <c r="J18" s="32">
        <v>1</v>
      </c>
      <c r="K18" s="32">
        <v>1</v>
      </c>
      <c r="L18" s="32">
        <v>0</v>
      </c>
      <c r="M18" s="32">
        <v>0</v>
      </c>
      <c r="N18" s="32">
        <v>0</v>
      </c>
      <c r="O18" s="32">
        <v>0</v>
      </c>
    </row>
    <row r="19" spans="1:15" ht="16" customHeight="1" x14ac:dyDescent="0.15">
      <c r="B19" t="s">
        <v>154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95">
        <v>0</v>
      </c>
      <c r="I19" s="95">
        <v>0</v>
      </c>
      <c r="J19" s="95">
        <v>0</v>
      </c>
      <c r="K19" s="95">
        <v>0</v>
      </c>
      <c r="L19" s="95">
        <v>0</v>
      </c>
      <c r="M19" s="95">
        <v>0</v>
      </c>
      <c r="N19" s="95">
        <v>0</v>
      </c>
      <c r="O19" s="95">
        <v>0</v>
      </c>
    </row>
    <row r="20" spans="1:15" ht="15.75" customHeight="1" x14ac:dyDescent="0.15">
      <c r="B20" t="s">
        <v>155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95">
        <v>0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95">
        <v>0</v>
      </c>
    </row>
    <row r="21" spans="1:15" ht="15.75" customHeight="1" x14ac:dyDescent="0.15">
      <c r="B21" t="s">
        <v>156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95">
        <v>0</v>
      </c>
      <c r="I21" s="95">
        <v>0</v>
      </c>
      <c r="J21" s="95">
        <v>0</v>
      </c>
      <c r="K21" s="95">
        <v>0</v>
      </c>
      <c r="L21" s="95">
        <v>0</v>
      </c>
      <c r="M21" s="95">
        <v>0</v>
      </c>
      <c r="N21" s="95">
        <v>0</v>
      </c>
      <c r="O21" s="95">
        <v>0</v>
      </c>
    </row>
    <row r="22" spans="1:15" ht="15.75" customHeight="1" x14ac:dyDescent="0.15"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</row>
    <row r="23" spans="1:15" ht="15.75" customHeight="1" x14ac:dyDescent="0.15">
      <c r="A23" s="7" t="s">
        <v>78</v>
      </c>
      <c r="B23" t="s">
        <v>113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32">
        <v>1</v>
      </c>
      <c r="M23" s="32">
        <v>0</v>
      </c>
      <c r="N23" s="32">
        <v>0</v>
      </c>
      <c r="O23" s="32">
        <v>0</v>
      </c>
    </row>
    <row r="24" spans="1:15" ht="15.75" customHeight="1" x14ac:dyDescent="0.15">
      <c r="B24" t="s">
        <v>114</v>
      </c>
      <c r="C24" s="32">
        <v>0</v>
      </c>
      <c r="D24" s="32">
        <v>0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1</v>
      </c>
      <c r="M24" s="32">
        <v>1</v>
      </c>
      <c r="N24" s="32">
        <v>1</v>
      </c>
      <c r="O24" s="32">
        <v>1</v>
      </c>
    </row>
    <row r="25" spans="1:15" ht="15.75" customHeight="1" x14ac:dyDescent="0.15">
      <c r="B25" t="s">
        <v>115</v>
      </c>
      <c r="C25" s="32"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1</v>
      </c>
      <c r="M25" s="32">
        <v>1</v>
      </c>
      <c r="N25" s="32">
        <v>1</v>
      </c>
      <c r="O25" s="32">
        <v>1</v>
      </c>
    </row>
    <row r="26" spans="1:15" ht="15.75" customHeight="1" x14ac:dyDescent="0.15">
      <c r="B26" t="s">
        <v>116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0</v>
      </c>
      <c r="I26" s="32">
        <v>0</v>
      </c>
      <c r="J26" s="32">
        <v>0</v>
      </c>
      <c r="K26" s="32">
        <v>0</v>
      </c>
      <c r="L26" s="32">
        <v>1</v>
      </c>
      <c r="M26" s="32">
        <v>0</v>
      </c>
      <c r="N26" s="32">
        <v>0</v>
      </c>
      <c r="O26" s="32">
        <v>0</v>
      </c>
    </row>
    <row r="27" spans="1:15" ht="15.75" customHeight="1" x14ac:dyDescent="0.15">
      <c r="B27" t="s">
        <v>117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1</v>
      </c>
      <c r="M27" s="32">
        <v>1</v>
      </c>
      <c r="N27" s="32">
        <v>1</v>
      </c>
      <c r="O27" s="32">
        <v>1</v>
      </c>
    </row>
    <row r="28" spans="1:15" ht="15.75" customHeight="1" x14ac:dyDescent="0.15">
      <c r="B28" t="s">
        <v>118</v>
      </c>
      <c r="C28" s="32">
        <v>0</v>
      </c>
      <c r="D28" s="32">
        <v>0</v>
      </c>
      <c r="E28" s="32">
        <v>0</v>
      </c>
      <c r="F28" s="32">
        <v>0</v>
      </c>
      <c r="G28" s="32">
        <v>0</v>
      </c>
      <c r="H28" s="32">
        <v>0</v>
      </c>
      <c r="I28" s="32">
        <v>0</v>
      </c>
      <c r="J28" s="32">
        <v>0</v>
      </c>
      <c r="K28" s="32">
        <v>0</v>
      </c>
      <c r="L28" s="32">
        <v>1</v>
      </c>
      <c r="M28" s="32">
        <v>1</v>
      </c>
      <c r="N28" s="32">
        <v>1</v>
      </c>
      <c r="O28" s="32">
        <v>1</v>
      </c>
    </row>
    <row r="29" spans="1:15" ht="15.75" customHeight="1" x14ac:dyDescent="0.15">
      <c r="B29" t="s">
        <v>119</v>
      </c>
      <c r="C29" s="32">
        <v>0</v>
      </c>
      <c r="D29" s="32">
        <v>0</v>
      </c>
      <c r="E29" s="32">
        <v>0</v>
      </c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  <c r="L29" s="32">
        <v>1</v>
      </c>
      <c r="M29" s="32">
        <v>1</v>
      </c>
      <c r="N29" s="32">
        <v>1</v>
      </c>
      <c r="O29" s="32">
        <v>1</v>
      </c>
    </row>
    <row r="30" spans="1:15" ht="15.75" customHeight="1" x14ac:dyDescent="0.15">
      <c r="A30" s="7"/>
      <c r="B30" t="s">
        <v>121</v>
      </c>
      <c r="C30" s="32">
        <v>0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1</v>
      </c>
      <c r="M30" s="32">
        <v>0</v>
      </c>
      <c r="N30" s="32">
        <v>0</v>
      </c>
      <c r="O30" s="32">
        <v>0</v>
      </c>
    </row>
    <row r="31" spans="1:15" ht="15.75" customHeight="1" x14ac:dyDescent="0.15">
      <c r="B31" t="s">
        <v>122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1</v>
      </c>
      <c r="M31" s="32">
        <v>1</v>
      </c>
      <c r="N31" s="32">
        <v>1</v>
      </c>
      <c r="O31" s="32">
        <v>1</v>
      </c>
    </row>
    <row r="32" spans="1:15" ht="15.75" customHeight="1" x14ac:dyDescent="0.15">
      <c r="B32" t="s">
        <v>123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1</v>
      </c>
      <c r="M32" s="32">
        <v>1</v>
      </c>
      <c r="N32" s="32">
        <v>1</v>
      </c>
      <c r="O32" s="32">
        <v>1</v>
      </c>
    </row>
    <row r="33" spans="1:15" ht="15.75" customHeight="1" x14ac:dyDescent="0.15">
      <c r="B33" t="s">
        <v>124</v>
      </c>
      <c r="C33" s="32">
        <v>0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1</v>
      </c>
      <c r="M33" s="32">
        <v>0</v>
      </c>
      <c r="N33" s="32">
        <v>0</v>
      </c>
      <c r="O33" s="32">
        <v>0</v>
      </c>
    </row>
    <row r="34" spans="1:15" ht="15.75" customHeight="1" x14ac:dyDescent="0.15">
      <c r="B34" t="s">
        <v>125</v>
      </c>
      <c r="C34" s="32">
        <v>0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32">
        <v>0</v>
      </c>
      <c r="J34" s="32">
        <v>0</v>
      </c>
      <c r="K34" s="32">
        <v>0</v>
      </c>
      <c r="L34" s="32">
        <v>1</v>
      </c>
      <c r="M34" s="32">
        <v>1</v>
      </c>
      <c r="N34" s="32">
        <v>1</v>
      </c>
      <c r="O34" s="32">
        <v>1</v>
      </c>
    </row>
    <row r="35" spans="1:15" ht="15.75" customHeight="1" x14ac:dyDescent="0.15">
      <c r="B35" t="s">
        <v>126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1</v>
      </c>
      <c r="M35" s="32">
        <v>1</v>
      </c>
      <c r="N35" s="32">
        <v>1</v>
      </c>
      <c r="O35" s="32">
        <v>1</v>
      </c>
    </row>
    <row r="36" spans="1:15" ht="15.75" customHeight="1" x14ac:dyDescent="0.15">
      <c r="B36" t="s">
        <v>127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1</v>
      </c>
      <c r="M36" s="32">
        <v>1</v>
      </c>
      <c r="N36" s="32">
        <v>1</v>
      </c>
      <c r="O36" s="32">
        <v>1</v>
      </c>
    </row>
    <row r="37" spans="1:15" ht="15.75" customHeight="1" x14ac:dyDescent="0.15">
      <c r="B37" t="s">
        <v>178</v>
      </c>
      <c r="C37" s="32">
        <v>0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95">
        <v>1</v>
      </c>
      <c r="M37" s="95">
        <v>1</v>
      </c>
      <c r="N37" s="95">
        <v>1</v>
      </c>
      <c r="O37" s="95">
        <v>1</v>
      </c>
    </row>
    <row r="38" spans="1:15" ht="15.75" customHeight="1" x14ac:dyDescent="0.15">
      <c r="B38" s="8" t="s">
        <v>259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32">
        <v>1</v>
      </c>
      <c r="M38" s="32">
        <v>1</v>
      </c>
      <c r="N38" s="32">
        <v>1</v>
      </c>
      <c r="O38" s="32">
        <v>1</v>
      </c>
    </row>
    <row r="39" spans="1:15" ht="15.75" customHeight="1" x14ac:dyDescent="0.15">
      <c r="B39" s="9"/>
      <c r="C39" s="32"/>
      <c r="D39" s="32"/>
      <c r="E39" s="96"/>
      <c r="F39" s="96"/>
      <c r="G39" s="96"/>
      <c r="H39" s="96"/>
      <c r="I39" s="96"/>
      <c r="J39" s="94"/>
      <c r="K39" s="94"/>
      <c r="L39" s="94"/>
      <c r="M39" s="94"/>
      <c r="N39" s="94"/>
      <c r="O39" s="94"/>
    </row>
    <row r="40" spans="1:15" ht="15.75" customHeight="1" x14ac:dyDescent="0.15">
      <c r="A40" s="7" t="s">
        <v>76</v>
      </c>
      <c r="B40" t="s">
        <v>249</v>
      </c>
      <c r="C40" s="32">
        <v>1</v>
      </c>
      <c r="D40" s="32">
        <v>1</v>
      </c>
      <c r="E40" s="32">
        <v>1</v>
      </c>
      <c r="F40" s="32">
        <v>1</v>
      </c>
      <c r="G40" s="32">
        <v>1</v>
      </c>
      <c r="H40" s="32">
        <v>1</v>
      </c>
      <c r="I40" s="32">
        <v>1</v>
      </c>
      <c r="J40" s="32">
        <v>1</v>
      </c>
      <c r="K40" s="32">
        <v>1</v>
      </c>
      <c r="L40" s="32">
        <v>1</v>
      </c>
      <c r="M40" s="32">
        <v>1</v>
      </c>
      <c r="N40" s="32">
        <v>1</v>
      </c>
      <c r="O40" s="32">
        <v>1</v>
      </c>
    </row>
    <row r="41" spans="1:15" ht="15.75" customHeight="1" x14ac:dyDescent="0.15">
      <c r="B41" t="s">
        <v>250</v>
      </c>
      <c r="C41" s="32">
        <v>1</v>
      </c>
      <c r="D41" s="32">
        <v>1</v>
      </c>
      <c r="E41" s="32">
        <v>1</v>
      </c>
      <c r="F41" s="32">
        <v>1</v>
      </c>
      <c r="G41" s="32">
        <v>1</v>
      </c>
      <c r="H41" s="32">
        <v>1</v>
      </c>
      <c r="I41" s="32">
        <v>1</v>
      </c>
      <c r="J41" s="32">
        <v>1</v>
      </c>
      <c r="K41" s="32">
        <v>1</v>
      </c>
      <c r="L41" s="32">
        <v>1</v>
      </c>
      <c r="M41" s="32">
        <v>1</v>
      </c>
      <c r="N41" s="32">
        <v>1</v>
      </c>
      <c r="O41" s="32">
        <v>1</v>
      </c>
    </row>
    <row r="42" spans="1:15" ht="15.75" customHeight="1" x14ac:dyDescent="0.15">
      <c r="B42" t="s">
        <v>251</v>
      </c>
      <c r="C42" s="32">
        <v>1</v>
      </c>
      <c r="D42" s="32">
        <v>1</v>
      </c>
      <c r="E42" s="32">
        <v>1</v>
      </c>
      <c r="F42" s="32">
        <v>1</v>
      </c>
      <c r="G42" s="32">
        <v>1</v>
      </c>
      <c r="H42" s="32">
        <v>1</v>
      </c>
      <c r="I42" s="32">
        <v>1</v>
      </c>
      <c r="J42" s="32">
        <v>1</v>
      </c>
      <c r="K42" s="32">
        <v>1</v>
      </c>
      <c r="L42" s="32">
        <v>1</v>
      </c>
      <c r="M42" s="32">
        <v>1</v>
      </c>
      <c r="N42" s="32">
        <v>1</v>
      </c>
      <c r="O42" s="32">
        <v>1</v>
      </c>
    </row>
    <row r="43" spans="1:15" ht="15.75" customHeight="1" x14ac:dyDescent="0.15">
      <c r="B43" t="s">
        <v>252</v>
      </c>
      <c r="C43" s="32">
        <v>1</v>
      </c>
      <c r="D43" s="32">
        <v>1</v>
      </c>
      <c r="E43" s="32">
        <v>1</v>
      </c>
      <c r="F43" s="32">
        <v>1</v>
      </c>
      <c r="G43" s="32">
        <v>1</v>
      </c>
      <c r="H43" s="32">
        <v>1</v>
      </c>
      <c r="I43" s="32">
        <v>1</v>
      </c>
      <c r="J43" s="32">
        <v>1</v>
      </c>
      <c r="K43" s="32">
        <v>1</v>
      </c>
      <c r="L43" s="32">
        <v>1</v>
      </c>
      <c r="M43" s="32">
        <v>1</v>
      </c>
      <c r="N43" s="32">
        <v>1</v>
      </c>
      <c r="O43" s="32">
        <v>1</v>
      </c>
    </row>
    <row r="44" spans="1:15" ht="15.75" customHeight="1" x14ac:dyDescent="0.15">
      <c r="B44" t="s">
        <v>253</v>
      </c>
      <c r="C44" s="32">
        <v>1</v>
      </c>
      <c r="D44" s="32">
        <v>1</v>
      </c>
      <c r="E44" s="32">
        <v>1</v>
      </c>
      <c r="F44" s="32">
        <v>1</v>
      </c>
      <c r="G44" s="32">
        <v>1</v>
      </c>
      <c r="H44" s="32">
        <v>1</v>
      </c>
      <c r="I44" s="32">
        <v>1</v>
      </c>
      <c r="J44" s="32">
        <v>1</v>
      </c>
      <c r="K44" s="32">
        <v>1</v>
      </c>
      <c r="L44" s="32">
        <v>1</v>
      </c>
      <c r="M44" s="32">
        <v>1</v>
      </c>
      <c r="N44" s="32">
        <v>1</v>
      </c>
      <c r="O44" s="32">
        <v>1</v>
      </c>
    </row>
    <row r="45" spans="1:15" ht="15.75" customHeight="1" x14ac:dyDescent="0.15">
      <c r="B45" t="s">
        <v>254</v>
      </c>
      <c r="C45" s="32">
        <v>1</v>
      </c>
      <c r="D45" s="32">
        <v>1</v>
      </c>
      <c r="E45" s="32">
        <v>1</v>
      </c>
      <c r="F45" s="32">
        <v>1</v>
      </c>
      <c r="G45" s="32">
        <v>1</v>
      </c>
      <c r="H45" s="32">
        <v>0</v>
      </c>
      <c r="I45" s="32">
        <v>0</v>
      </c>
      <c r="J45" s="32">
        <v>0</v>
      </c>
      <c r="K45" s="32">
        <v>0</v>
      </c>
      <c r="L45" s="32">
        <v>0</v>
      </c>
      <c r="M45" s="32">
        <v>0</v>
      </c>
      <c r="N45" s="32">
        <v>0</v>
      </c>
      <c r="O45" s="32">
        <v>0</v>
      </c>
    </row>
    <row r="46" spans="1:15" ht="15.75" customHeight="1" x14ac:dyDescent="0.15">
      <c r="B46" t="s">
        <v>255</v>
      </c>
      <c r="C46" s="32">
        <v>1</v>
      </c>
      <c r="D46" s="32">
        <v>1</v>
      </c>
      <c r="E46" s="32">
        <v>1</v>
      </c>
      <c r="F46" s="32">
        <v>1</v>
      </c>
      <c r="G46" s="32">
        <v>1</v>
      </c>
      <c r="H46" s="32">
        <v>0</v>
      </c>
      <c r="I46" s="32">
        <v>0</v>
      </c>
      <c r="J46" s="32">
        <v>0</v>
      </c>
      <c r="K46" s="32">
        <v>0</v>
      </c>
      <c r="L46" s="32">
        <v>0</v>
      </c>
      <c r="M46" s="32">
        <v>0</v>
      </c>
      <c r="N46" s="32">
        <v>0</v>
      </c>
      <c r="O46" s="32">
        <v>0</v>
      </c>
    </row>
    <row r="47" spans="1:15" ht="15.75" customHeight="1" x14ac:dyDescent="0.15">
      <c r="B47" s="4" t="s">
        <v>256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1</v>
      </c>
      <c r="I47" s="32">
        <v>1</v>
      </c>
      <c r="J47" s="32">
        <v>1</v>
      </c>
      <c r="K47" s="32">
        <v>1</v>
      </c>
      <c r="L47" s="32">
        <v>0</v>
      </c>
      <c r="M47" s="32">
        <v>0</v>
      </c>
      <c r="N47" s="32">
        <v>0</v>
      </c>
      <c r="O47" s="32">
        <v>0</v>
      </c>
    </row>
    <row r="48" spans="1:15" ht="15.75" customHeight="1" x14ac:dyDescent="0.15">
      <c r="B48" s="4" t="s">
        <v>257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1</v>
      </c>
      <c r="I48" s="32">
        <v>1</v>
      </c>
      <c r="J48" s="32">
        <v>1</v>
      </c>
      <c r="K48" s="32">
        <v>1</v>
      </c>
      <c r="L48" s="32">
        <v>0</v>
      </c>
      <c r="M48" s="32">
        <v>0</v>
      </c>
      <c r="N48" s="32">
        <v>0</v>
      </c>
      <c r="O48" s="32">
        <v>0</v>
      </c>
    </row>
    <row r="49" spans="1:15" ht="15.75" customHeight="1" x14ac:dyDescent="0.15">
      <c r="B49" s="4" t="s">
        <v>258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1</v>
      </c>
      <c r="I49" s="32">
        <v>1</v>
      </c>
      <c r="J49" s="32">
        <v>1</v>
      </c>
      <c r="K49" s="32">
        <v>1</v>
      </c>
      <c r="L49" s="32">
        <v>0</v>
      </c>
      <c r="M49" s="32">
        <v>0</v>
      </c>
      <c r="N49" s="32">
        <v>0</v>
      </c>
      <c r="O49" s="32">
        <v>0</v>
      </c>
    </row>
    <row r="50" spans="1:15" ht="15.75" customHeight="1" x14ac:dyDescent="0.15">
      <c r="A50" s="8"/>
      <c r="B50" s="9" t="s">
        <v>75</v>
      </c>
      <c r="C50" s="95">
        <v>1</v>
      </c>
      <c r="D50" s="95">
        <v>1</v>
      </c>
      <c r="E50" s="95">
        <v>1</v>
      </c>
      <c r="F50" s="95">
        <v>1</v>
      </c>
      <c r="G50" s="95">
        <v>1</v>
      </c>
      <c r="H50" s="95">
        <v>1</v>
      </c>
      <c r="I50" s="95">
        <v>1</v>
      </c>
      <c r="J50" s="95">
        <v>1</v>
      </c>
      <c r="K50" s="95">
        <v>1</v>
      </c>
      <c r="L50" s="95">
        <v>1</v>
      </c>
      <c r="M50" s="95">
        <v>1</v>
      </c>
      <c r="N50" s="95">
        <v>1</v>
      </c>
      <c r="O50" s="95">
        <v>1</v>
      </c>
    </row>
    <row r="51" spans="1:15" s="8" customFormat="1" ht="15.75" customHeight="1" x14ac:dyDescent="0.15">
      <c r="B51" s="9" t="s">
        <v>137</v>
      </c>
      <c r="C51" s="92">
        <v>1</v>
      </c>
      <c r="D51" s="92">
        <v>0</v>
      </c>
      <c r="E51" s="97">
        <v>1</v>
      </c>
      <c r="F51" s="97">
        <v>1</v>
      </c>
      <c r="G51" s="97">
        <v>1</v>
      </c>
      <c r="H51" s="97">
        <v>1</v>
      </c>
      <c r="I51" s="97">
        <v>1</v>
      </c>
      <c r="J51" s="97">
        <v>1</v>
      </c>
      <c r="K51" s="97">
        <v>1</v>
      </c>
      <c r="L51" s="97">
        <v>1</v>
      </c>
      <c r="M51" s="97">
        <v>1</v>
      </c>
      <c r="N51" s="97">
        <v>1</v>
      </c>
      <c r="O51" s="97">
        <v>1</v>
      </c>
    </row>
    <row r="52" spans="1:15" s="8" customFormat="1" ht="15.75" customHeight="1" x14ac:dyDescent="0.15">
      <c r="B52" s="9" t="s">
        <v>138</v>
      </c>
      <c r="C52" s="92">
        <v>1</v>
      </c>
      <c r="D52" s="92">
        <v>0</v>
      </c>
      <c r="E52" s="92">
        <v>1</v>
      </c>
      <c r="F52" s="92">
        <v>1</v>
      </c>
      <c r="G52" s="92">
        <v>1</v>
      </c>
      <c r="H52" s="92">
        <v>1</v>
      </c>
      <c r="I52" s="92">
        <v>1</v>
      </c>
      <c r="J52" s="92">
        <v>1</v>
      </c>
      <c r="K52" s="92">
        <v>1</v>
      </c>
      <c r="L52" s="92">
        <v>1</v>
      </c>
      <c r="M52" s="92">
        <v>1</v>
      </c>
      <c r="N52" s="92">
        <v>1</v>
      </c>
      <c r="O52" s="92">
        <v>1</v>
      </c>
    </row>
    <row r="53" spans="1:15" s="8" customFormat="1" ht="15.75" customHeight="1" x14ac:dyDescent="0.15">
      <c r="B53" s="9" t="s">
        <v>139</v>
      </c>
      <c r="C53" s="92">
        <v>1</v>
      </c>
      <c r="D53" s="92">
        <v>0</v>
      </c>
      <c r="E53" s="92">
        <v>1</v>
      </c>
      <c r="F53" s="92">
        <v>1</v>
      </c>
      <c r="G53" s="92">
        <v>1</v>
      </c>
      <c r="H53" s="92">
        <v>1</v>
      </c>
      <c r="I53" s="92">
        <v>1</v>
      </c>
      <c r="J53" s="92">
        <v>1</v>
      </c>
      <c r="K53" s="92">
        <v>1</v>
      </c>
      <c r="L53" s="92">
        <v>1</v>
      </c>
      <c r="M53" s="92">
        <v>1</v>
      </c>
      <c r="N53" s="92">
        <v>1</v>
      </c>
      <c r="O53" s="92">
        <v>1</v>
      </c>
    </row>
    <row r="54" spans="1:15" ht="15" customHeight="1" x14ac:dyDescent="0.15">
      <c r="B54" s="4" t="s">
        <v>91</v>
      </c>
      <c r="C54" s="3">
        <v>1</v>
      </c>
      <c r="D54" s="3">
        <v>0</v>
      </c>
      <c r="E54" s="23">
        <v>1</v>
      </c>
      <c r="F54" s="23">
        <v>1</v>
      </c>
      <c r="G54" s="23">
        <v>1</v>
      </c>
      <c r="H54" s="23">
        <v>1</v>
      </c>
      <c r="I54" s="23">
        <v>1</v>
      </c>
      <c r="J54" s="23">
        <v>1</v>
      </c>
      <c r="K54" s="23">
        <v>1</v>
      </c>
      <c r="L54" s="23">
        <v>1</v>
      </c>
      <c r="M54" s="23">
        <v>1</v>
      </c>
      <c r="N54" s="23">
        <v>1</v>
      </c>
      <c r="O54" s="23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 tint="0.39997558519241921"/>
  </sheetPr>
  <dimension ref="A1:K51"/>
  <sheetViews>
    <sheetView workbookViewId="0">
      <selection activeCell="F8" sqref="F8"/>
    </sheetView>
    <sheetView workbookViewId="1"/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7" t="s">
        <v>196</v>
      </c>
      <c r="B1" s="7" t="s">
        <v>13</v>
      </c>
      <c r="C1" s="7" t="s">
        <v>197</v>
      </c>
      <c r="D1" s="7" t="s">
        <v>220</v>
      </c>
      <c r="E1" s="7" t="s">
        <v>221</v>
      </c>
      <c r="F1" s="7" t="s">
        <v>36</v>
      </c>
      <c r="G1" s="7" t="s">
        <v>206</v>
      </c>
      <c r="H1" s="7" t="s">
        <v>216</v>
      </c>
      <c r="I1" s="7" t="s">
        <v>215</v>
      </c>
      <c r="J1" s="7" t="s">
        <v>198</v>
      </c>
      <c r="K1" s="7" t="s">
        <v>260</v>
      </c>
    </row>
    <row r="2" spans="1:11" x14ac:dyDescent="0.15">
      <c r="A2" t="str">
        <f>'Programs to include'!A2</f>
        <v>Balanced energy-protein supplementation</v>
      </c>
      <c r="I2" t="s">
        <v>158</v>
      </c>
    </row>
    <row r="3" spans="1:11" x14ac:dyDescent="0.15">
      <c r="A3" t="str">
        <f>'Programs to include'!A3</f>
        <v>Birth age program</v>
      </c>
      <c r="K3" t="s">
        <v>158</v>
      </c>
    </row>
    <row r="4" spans="1:11" x14ac:dyDescent="0.15">
      <c r="A4" t="str">
        <f>'Programs to include'!A4</f>
        <v>Calcium supplementation</v>
      </c>
      <c r="H4" t="s">
        <v>158</v>
      </c>
    </row>
    <row r="5" spans="1:11" x14ac:dyDescent="0.15">
      <c r="A5" t="str">
        <f>'Programs to include'!A5</f>
        <v>Cash transfers</v>
      </c>
      <c r="D5" t="s">
        <v>158</v>
      </c>
    </row>
    <row r="6" spans="1:11" x14ac:dyDescent="0.15">
      <c r="A6" t="str">
        <f>'Programs to include'!A6</f>
        <v>Family Planning</v>
      </c>
      <c r="J6" t="s">
        <v>158</v>
      </c>
    </row>
    <row r="7" spans="1:11" x14ac:dyDescent="0.15">
      <c r="A7" t="str">
        <f>'Programs to include'!A7</f>
        <v>IFA fortification of maize</v>
      </c>
      <c r="C7" t="s">
        <v>158</v>
      </c>
      <c r="H7" t="s">
        <v>158</v>
      </c>
    </row>
    <row r="8" spans="1:11" x14ac:dyDescent="0.15">
      <c r="A8" t="str">
        <f>'Programs to include'!A8</f>
        <v>IFA fortification of rice</v>
      </c>
      <c r="C8" t="s">
        <v>158</v>
      </c>
      <c r="H8" t="s">
        <v>158</v>
      </c>
    </row>
    <row r="9" spans="1:11" x14ac:dyDescent="0.15">
      <c r="A9" t="str">
        <f>'Programs to include'!A9</f>
        <v>IFA fortification of wheat flour</v>
      </c>
      <c r="C9" t="s">
        <v>158</v>
      </c>
      <c r="H9" t="s">
        <v>158</v>
      </c>
    </row>
    <row r="10" spans="1:11" x14ac:dyDescent="0.15">
      <c r="A10" t="str">
        <f>'Programs to include'!A10</f>
        <v>IFAS not poor: community</v>
      </c>
      <c r="C10" t="s">
        <v>158</v>
      </c>
    </row>
    <row r="11" spans="1:11" x14ac:dyDescent="0.15">
      <c r="A11" t="str">
        <f>'Programs to include'!A11</f>
        <v>IFAS not poor: community (malaria area)</v>
      </c>
      <c r="C11" t="s">
        <v>158</v>
      </c>
    </row>
    <row r="12" spans="1:11" x14ac:dyDescent="0.15">
      <c r="A12" t="str">
        <f>'Programs to include'!A12</f>
        <v>IFAS not poor: hospital</v>
      </c>
      <c r="C12" t="s">
        <v>158</v>
      </c>
    </row>
    <row r="13" spans="1:11" x14ac:dyDescent="0.15">
      <c r="A13" t="str">
        <f>'Programs to include'!A13</f>
        <v>IFAS not poor: hospital (malaria area)</v>
      </c>
      <c r="C13" t="s">
        <v>158</v>
      </c>
    </row>
    <row r="14" spans="1:11" x14ac:dyDescent="0.15">
      <c r="A14" t="str">
        <f>'Programs to include'!A14</f>
        <v>IFAS not poor: retailer</v>
      </c>
      <c r="C14" t="s">
        <v>158</v>
      </c>
    </row>
    <row r="15" spans="1:11" x14ac:dyDescent="0.15">
      <c r="A15" t="str">
        <f>'Programs to include'!A15</f>
        <v>IFAS not poor: retailer (malaria area)</v>
      </c>
      <c r="C15" t="s">
        <v>158</v>
      </c>
    </row>
    <row r="16" spans="1:11" x14ac:dyDescent="0.15">
      <c r="A16" t="str">
        <f>'Programs to include'!A16</f>
        <v>IFAS not poor: school</v>
      </c>
      <c r="C16" t="s">
        <v>158</v>
      </c>
    </row>
    <row r="17" spans="1:9" x14ac:dyDescent="0.15">
      <c r="A17" t="str">
        <f>'Programs to include'!A17</f>
        <v>IFAS not poor: school (malaria area)</v>
      </c>
      <c r="C17" t="s">
        <v>158</v>
      </c>
    </row>
    <row r="18" spans="1:9" x14ac:dyDescent="0.15">
      <c r="A18" t="str">
        <f>'Programs to include'!A18</f>
        <v>IFAS poor: community</v>
      </c>
      <c r="C18" t="s">
        <v>158</v>
      </c>
    </row>
    <row r="19" spans="1:9" x14ac:dyDescent="0.15">
      <c r="A19" t="str">
        <f>'Programs to include'!A19</f>
        <v>IFAS poor: community (malaria area)</v>
      </c>
      <c r="C19" t="s">
        <v>158</v>
      </c>
    </row>
    <row r="20" spans="1:9" x14ac:dyDescent="0.15">
      <c r="A20" t="str">
        <f>'Programs to include'!A20</f>
        <v>IFAS poor: hospital</v>
      </c>
      <c r="C20" t="s">
        <v>158</v>
      </c>
    </row>
    <row r="21" spans="1:9" x14ac:dyDescent="0.15">
      <c r="A21" t="str">
        <f>'Programs to include'!A21</f>
        <v>IFAS poor: hospital (malaria area)</v>
      </c>
      <c r="C21" t="s">
        <v>158</v>
      </c>
    </row>
    <row r="22" spans="1:9" x14ac:dyDescent="0.15">
      <c r="A22" t="str">
        <f>'Programs to include'!A22</f>
        <v>IFAS poor: school</v>
      </c>
      <c r="C22" t="s">
        <v>158</v>
      </c>
    </row>
    <row r="23" spans="1:9" x14ac:dyDescent="0.15">
      <c r="A23" t="str">
        <f>'Programs to include'!A23</f>
        <v>IFAS poor: school (malaria area)</v>
      </c>
      <c r="C23" t="s">
        <v>158</v>
      </c>
    </row>
    <row r="24" spans="1:9" x14ac:dyDescent="0.15">
      <c r="A24" t="str">
        <f>'Programs to include'!A24</f>
        <v>IPTp</v>
      </c>
      <c r="C24" t="s">
        <v>158</v>
      </c>
      <c r="H24" t="s">
        <v>158</v>
      </c>
      <c r="I24" t="s">
        <v>158</v>
      </c>
    </row>
    <row r="25" spans="1:9" x14ac:dyDescent="0.15">
      <c r="A25" t="str">
        <f>'Programs to include'!A25</f>
        <v>Iron and folic acid supplementation for pregnant women</v>
      </c>
      <c r="C25" t="s">
        <v>158</v>
      </c>
      <c r="I25" t="s">
        <v>158</v>
      </c>
    </row>
    <row r="26" spans="1:9" x14ac:dyDescent="0.15">
      <c r="A26" t="str">
        <f>'Programs to include'!A26</f>
        <v>Iron and folic acid supplementation for pregnant women (malaria area)</v>
      </c>
      <c r="C26" t="s">
        <v>158</v>
      </c>
      <c r="I26" t="s">
        <v>158</v>
      </c>
    </row>
    <row r="27" spans="1:9" x14ac:dyDescent="0.15">
      <c r="A27" t="str">
        <f>'Programs to include'!A27</f>
        <v>Iron and iodine fortification of salt</v>
      </c>
      <c r="C27" t="s">
        <v>158</v>
      </c>
    </row>
    <row r="28" spans="1:9" x14ac:dyDescent="0.15">
      <c r="A28" t="str">
        <f>'Programs to include'!A28</f>
        <v>Long-lasting insecticide-treated bednets</v>
      </c>
      <c r="C28" t="s">
        <v>158</v>
      </c>
      <c r="I28" t="s">
        <v>158</v>
      </c>
    </row>
    <row r="29" spans="1:9" x14ac:dyDescent="0.15">
      <c r="A29" t="str">
        <f>'Programs to include'!A29</f>
        <v>Mg for eclampsia</v>
      </c>
      <c r="H29" t="s">
        <v>158</v>
      </c>
    </row>
    <row r="30" spans="1:9" x14ac:dyDescent="0.15">
      <c r="A30" t="str">
        <f>'Programs to include'!A30</f>
        <v>Mg for pre-eclampsia</v>
      </c>
      <c r="H30" t="s">
        <v>158</v>
      </c>
    </row>
    <row r="31" spans="1:9" x14ac:dyDescent="0.15">
      <c r="A31" t="str">
        <f>'Programs to include'!A31</f>
        <v>Multiple micronutrient supplementation</v>
      </c>
      <c r="C31" t="s">
        <v>158</v>
      </c>
      <c r="I31" t="s">
        <v>158</v>
      </c>
    </row>
    <row r="32" spans="1:9" x14ac:dyDescent="0.15">
      <c r="A32" t="str">
        <f>'Programs to include'!A32</f>
        <v>Multiple micronutrient supplementation (malaria area)</v>
      </c>
      <c r="C32" t="s">
        <v>158</v>
      </c>
      <c r="I32" t="s">
        <v>158</v>
      </c>
    </row>
    <row r="33" spans="1:8" x14ac:dyDescent="0.15">
      <c r="A33" t="str">
        <f>'Programs to include'!A33</f>
        <v>Oral rehydration salts</v>
      </c>
      <c r="G33" t="s">
        <v>158</v>
      </c>
    </row>
    <row r="34" spans="1:8" x14ac:dyDescent="0.15">
      <c r="A34" t="str">
        <f>'Programs to include'!A34</f>
        <v>Public provision of complementary foods</v>
      </c>
      <c r="B34" t="s">
        <v>158</v>
      </c>
      <c r="D34" t="s">
        <v>158</v>
      </c>
    </row>
    <row r="35" spans="1:8" x14ac:dyDescent="0.15">
      <c r="A35" t="str">
        <f>'Programs to include'!A35</f>
        <v>Public provision of complementary foods with iron</v>
      </c>
      <c r="B35" t="s">
        <v>158</v>
      </c>
      <c r="C35" t="s">
        <v>158</v>
      </c>
      <c r="D35" t="s">
        <v>158</v>
      </c>
    </row>
    <row r="36" spans="1:8" x14ac:dyDescent="0.15">
      <c r="A36" t="str">
        <f>'Programs to include'!A36</f>
        <v>Public provision of complementary foods with iron (malaria area)</v>
      </c>
      <c r="B36" t="s">
        <v>158</v>
      </c>
      <c r="C36" t="s">
        <v>158</v>
      </c>
      <c r="D36" t="s">
        <v>158</v>
      </c>
    </row>
    <row r="37" spans="1:8" x14ac:dyDescent="0.15">
      <c r="A37" t="str">
        <f>'Programs to include'!A37</f>
        <v>Sprinkles</v>
      </c>
      <c r="C37" t="s">
        <v>158</v>
      </c>
    </row>
    <row r="38" spans="1:8" x14ac:dyDescent="0.15">
      <c r="A38" t="str">
        <f>'Programs to include'!A38</f>
        <v>Sprinkles (malaria area)</v>
      </c>
      <c r="C38" t="s">
        <v>158</v>
      </c>
    </row>
    <row r="39" spans="1:8" x14ac:dyDescent="0.15">
      <c r="A39" t="str">
        <f>'Programs to include'!A39</f>
        <v>Treatment of MAM</v>
      </c>
      <c r="E39" t="s">
        <v>158</v>
      </c>
    </row>
    <row r="40" spans="1:8" x14ac:dyDescent="0.15">
      <c r="A40" t="str">
        <f>'Programs to include'!A40</f>
        <v>Treatment of SAM</v>
      </c>
      <c r="E40" t="s">
        <v>158</v>
      </c>
    </row>
    <row r="41" spans="1:8" x14ac:dyDescent="0.15">
      <c r="A41" t="str">
        <f>'Programs to include'!A41</f>
        <v>Vitamin A supplementation</v>
      </c>
      <c r="G41" t="s">
        <v>158</v>
      </c>
      <c r="H41" t="s">
        <v>158</v>
      </c>
    </row>
    <row r="42" spans="1:8" x14ac:dyDescent="0.15">
      <c r="A42" t="str">
        <f>'Programs to include'!A42</f>
        <v>WASH: Handwashing</v>
      </c>
      <c r="G42" t="s">
        <v>158</v>
      </c>
      <c r="H42" t="s">
        <v>158</v>
      </c>
    </row>
    <row r="43" spans="1:8" x14ac:dyDescent="0.15">
      <c r="A43" t="str">
        <f>'Programs to include'!A43</f>
        <v>WASH: Hygenic disposal</v>
      </c>
      <c r="G43" t="s">
        <v>158</v>
      </c>
      <c r="H43" t="s">
        <v>158</v>
      </c>
    </row>
    <row r="44" spans="1:8" x14ac:dyDescent="0.15">
      <c r="A44" t="str">
        <f>'Programs to include'!A44</f>
        <v>WASH: Improved sanitation</v>
      </c>
      <c r="G44" t="s">
        <v>158</v>
      </c>
      <c r="H44" t="s">
        <v>158</v>
      </c>
    </row>
    <row r="45" spans="1:8" x14ac:dyDescent="0.15">
      <c r="A45" t="str">
        <f>'Programs to include'!A45</f>
        <v>WASH: Improved water source</v>
      </c>
      <c r="G45" t="s">
        <v>158</v>
      </c>
      <c r="H45" t="s">
        <v>158</v>
      </c>
    </row>
    <row r="46" spans="1:8" x14ac:dyDescent="0.15">
      <c r="A46" t="str">
        <f>'Programs to include'!A46</f>
        <v>WASH: Piped water</v>
      </c>
      <c r="G46" t="s">
        <v>158</v>
      </c>
      <c r="H46" t="s">
        <v>158</v>
      </c>
    </row>
    <row r="47" spans="1:8" x14ac:dyDescent="0.15">
      <c r="A47" t="str">
        <f>'Programs to include'!A47</f>
        <v>Zinc for treatment + ORS</v>
      </c>
      <c r="H47" t="s">
        <v>158</v>
      </c>
    </row>
    <row r="48" spans="1:8" x14ac:dyDescent="0.15">
      <c r="A48" t="str">
        <f>'Programs to include'!A48</f>
        <v>Zinc supplementation</v>
      </c>
      <c r="B48" s="98" t="s">
        <v>158</v>
      </c>
      <c r="G48" s="98" t="s">
        <v>158</v>
      </c>
      <c r="H48" s="98" t="s">
        <v>158</v>
      </c>
    </row>
    <row r="49" spans="1:6" x14ac:dyDescent="0.15">
      <c r="A49" t="str">
        <f>'Programs to include'!A49</f>
        <v>IYCF 1</v>
      </c>
      <c r="B49" t="s">
        <v>158</v>
      </c>
      <c r="F49" t="s">
        <v>158</v>
      </c>
    </row>
    <row r="50" spans="1:6" x14ac:dyDescent="0.15">
      <c r="A50" t="str">
        <f>'Programs to include'!A50</f>
        <v>IYCF 2</v>
      </c>
      <c r="B50" t="s">
        <v>158</v>
      </c>
      <c r="F50" t="s">
        <v>158</v>
      </c>
    </row>
    <row r="51" spans="1:6" x14ac:dyDescent="0.15">
      <c r="A51" t="str">
        <f>'Programs to include'!A51</f>
        <v>IYCF 3</v>
      </c>
      <c r="B51" t="s">
        <v>158</v>
      </c>
      <c r="F51" t="s">
        <v>158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 tint="0.39997558519241921"/>
  </sheetPr>
  <dimension ref="A1:K14"/>
  <sheetViews>
    <sheetView workbookViewId="0">
      <selection activeCell="J53" sqref="J53"/>
    </sheetView>
    <sheetView workbookViewId="1"/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7" t="s">
        <v>243</v>
      </c>
      <c r="B1" s="7" t="s">
        <v>13</v>
      </c>
      <c r="C1" s="7" t="s">
        <v>197</v>
      </c>
      <c r="D1" s="7" t="s">
        <v>220</v>
      </c>
      <c r="E1" s="7" t="s">
        <v>221</v>
      </c>
      <c r="F1" s="7" t="s">
        <v>36</v>
      </c>
      <c r="G1" s="7" t="s">
        <v>206</v>
      </c>
      <c r="H1" s="7" t="s">
        <v>216</v>
      </c>
      <c r="I1" s="7" t="s">
        <v>215</v>
      </c>
      <c r="J1" s="7" t="s">
        <v>198</v>
      </c>
      <c r="K1" s="7" t="s">
        <v>260</v>
      </c>
    </row>
    <row r="2" spans="1:11" x14ac:dyDescent="0.15">
      <c r="A2" s="7" t="s">
        <v>6</v>
      </c>
      <c r="B2" t="s">
        <v>158</v>
      </c>
      <c r="C2" t="s">
        <v>158</v>
      </c>
      <c r="D2" t="s">
        <v>158</v>
      </c>
      <c r="E2" t="s">
        <v>158</v>
      </c>
      <c r="F2" t="s">
        <v>158</v>
      </c>
      <c r="G2" t="s">
        <v>158</v>
      </c>
      <c r="H2" t="s">
        <v>158</v>
      </c>
      <c r="J2" s="8" t="s">
        <v>158</v>
      </c>
    </row>
    <row r="3" spans="1:11" x14ac:dyDescent="0.15">
      <c r="A3" s="7" t="s">
        <v>7</v>
      </c>
      <c r="B3" t="s">
        <v>158</v>
      </c>
      <c r="C3" t="s">
        <v>158</v>
      </c>
      <c r="D3" t="s">
        <v>158</v>
      </c>
      <c r="E3" t="s">
        <v>158</v>
      </c>
      <c r="F3" t="s">
        <v>158</v>
      </c>
      <c r="G3" t="s">
        <v>158</v>
      </c>
      <c r="H3" t="s">
        <v>158</v>
      </c>
      <c r="J3" s="8" t="s">
        <v>158</v>
      </c>
    </row>
    <row r="4" spans="1:11" x14ac:dyDescent="0.15">
      <c r="A4" s="7" t="s">
        <v>8</v>
      </c>
      <c r="B4" t="s">
        <v>158</v>
      </c>
      <c r="C4" t="s">
        <v>158</v>
      </c>
      <c r="D4" t="s">
        <v>158</v>
      </c>
      <c r="E4" t="s">
        <v>158</v>
      </c>
      <c r="F4" t="s">
        <v>158</v>
      </c>
      <c r="G4" t="s">
        <v>158</v>
      </c>
      <c r="H4" t="s">
        <v>158</v>
      </c>
      <c r="J4" s="8" t="s">
        <v>158</v>
      </c>
    </row>
    <row r="5" spans="1:11" x14ac:dyDescent="0.15">
      <c r="A5" s="7" t="s">
        <v>9</v>
      </c>
      <c r="B5" t="s">
        <v>158</v>
      </c>
      <c r="C5" t="s">
        <v>158</v>
      </c>
      <c r="D5" t="s">
        <v>158</v>
      </c>
      <c r="E5" t="s">
        <v>158</v>
      </c>
      <c r="F5" t="s">
        <v>158</v>
      </c>
      <c r="G5" t="s">
        <v>158</v>
      </c>
      <c r="H5" t="s">
        <v>158</v>
      </c>
      <c r="J5" s="8" t="s">
        <v>158</v>
      </c>
    </row>
    <row r="6" spans="1:11" x14ac:dyDescent="0.15">
      <c r="A6" s="7" t="s">
        <v>10</v>
      </c>
      <c r="B6" t="s">
        <v>158</v>
      </c>
      <c r="C6" t="s">
        <v>158</v>
      </c>
      <c r="D6" t="s">
        <v>158</v>
      </c>
      <c r="E6" t="s">
        <v>158</v>
      </c>
      <c r="F6" t="s">
        <v>158</v>
      </c>
      <c r="G6" t="s">
        <v>158</v>
      </c>
      <c r="H6" t="s">
        <v>158</v>
      </c>
      <c r="J6" s="8" t="s">
        <v>158</v>
      </c>
    </row>
    <row r="7" spans="1:11" x14ac:dyDescent="0.15">
      <c r="A7" s="7" t="s">
        <v>108</v>
      </c>
      <c r="C7" t="s">
        <v>158</v>
      </c>
      <c r="H7" t="s">
        <v>158</v>
      </c>
      <c r="I7" t="s">
        <v>158</v>
      </c>
      <c r="J7" s="8"/>
    </row>
    <row r="8" spans="1:11" x14ac:dyDescent="0.15">
      <c r="A8" s="7" t="s">
        <v>109</v>
      </c>
      <c r="C8" t="s">
        <v>158</v>
      </c>
      <c r="H8" t="s">
        <v>158</v>
      </c>
      <c r="I8" t="s">
        <v>158</v>
      </c>
      <c r="J8" s="8"/>
    </row>
    <row r="9" spans="1:11" x14ac:dyDescent="0.15">
      <c r="A9" s="7" t="s">
        <v>110</v>
      </c>
      <c r="C9" t="s">
        <v>158</v>
      </c>
      <c r="H9" t="s">
        <v>158</v>
      </c>
      <c r="I9" t="s">
        <v>158</v>
      </c>
      <c r="J9" s="8"/>
    </row>
    <row r="10" spans="1:11" x14ac:dyDescent="0.15">
      <c r="A10" s="7" t="s">
        <v>111</v>
      </c>
      <c r="C10" t="s">
        <v>158</v>
      </c>
      <c r="H10" t="s">
        <v>158</v>
      </c>
      <c r="I10" t="s">
        <v>158</v>
      </c>
      <c r="J10" s="8"/>
    </row>
    <row r="11" spans="1:11" x14ac:dyDescent="0.15">
      <c r="A11" s="7" t="s">
        <v>104</v>
      </c>
      <c r="C11" t="s">
        <v>158</v>
      </c>
    </row>
    <row r="12" spans="1:11" x14ac:dyDescent="0.15">
      <c r="A12" s="7" t="s">
        <v>105</v>
      </c>
      <c r="C12" t="s">
        <v>158</v>
      </c>
    </row>
    <row r="13" spans="1:11" x14ac:dyDescent="0.15">
      <c r="A13" s="7" t="s">
        <v>106</v>
      </c>
      <c r="C13" t="s">
        <v>158</v>
      </c>
    </row>
    <row r="14" spans="1:11" x14ac:dyDescent="0.15">
      <c r="A14" s="7" t="s">
        <v>107</v>
      </c>
      <c r="C14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J28"/>
  <sheetViews>
    <sheetView workbookViewId="0">
      <selection activeCell="E49" sqref="E49"/>
    </sheetView>
    <sheetView workbookViewId="1"/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7" t="s">
        <v>5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108</v>
      </c>
      <c r="H1" s="7" t="s">
        <v>109</v>
      </c>
      <c r="I1" s="7" t="s">
        <v>110</v>
      </c>
      <c r="J1" s="7" t="s">
        <v>111</v>
      </c>
    </row>
    <row r="2" spans="1:10" ht="15.75" customHeight="1" x14ac:dyDescent="0.15">
      <c r="A2" s="7" t="s">
        <v>210</v>
      </c>
      <c r="B2" s="60">
        <v>7.0000000000000001E-3</v>
      </c>
      <c r="C2" s="10">
        <v>0</v>
      </c>
      <c r="D2" s="10">
        <v>0</v>
      </c>
      <c r="E2" s="10">
        <v>0</v>
      </c>
      <c r="F2" s="10">
        <v>0</v>
      </c>
      <c r="G2" s="22">
        <v>0</v>
      </c>
      <c r="H2" s="22">
        <v>0</v>
      </c>
      <c r="I2" s="22">
        <v>0</v>
      </c>
      <c r="J2" s="22">
        <v>0</v>
      </c>
    </row>
    <row r="3" spans="1:10" ht="15.75" customHeight="1" x14ac:dyDescent="0.15">
      <c r="A3" s="7" t="s">
        <v>15</v>
      </c>
      <c r="B3" s="60">
        <v>0.19900000000000001</v>
      </c>
      <c r="C3" s="10">
        <v>0</v>
      </c>
      <c r="D3" s="10">
        <v>0</v>
      </c>
      <c r="E3" s="10">
        <v>0</v>
      </c>
      <c r="F3" s="10">
        <v>0</v>
      </c>
      <c r="G3" s="22">
        <v>0</v>
      </c>
      <c r="H3" s="22">
        <v>0</v>
      </c>
      <c r="I3" s="22">
        <v>0</v>
      </c>
      <c r="J3" s="22">
        <v>0</v>
      </c>
    </row>
    <row r="4" spans="1:10" ht="15.75" customHeight="1" x14ac:dyDescent="0.15">
      <c r="A4" s="7" t="s">
        <v>16</v>
      </c>
      <c r="B4" s="60">
        <v>5.8999999999999997E-2</v>
      </c>
      <c r="C4" s="10">
        <v>0</v>
      </c>
      <c r="D4" s="10">
        <v>0</v>
      </c>
      <c r="E4" s="10">
        <v>0</v>
      </c>
      <c r="F4" s="10">
        <v>0</v>
      </c>
      <c r="G4" s="22">
        <v>0</v>
      </c>
      <c r="H4" s="22">
        <v>0</v>
      </c>
      <c r="I4" s="22">
        <v>0</v>
      </c>
      <c r="J4" s="22">
        <v>0</v>
      </c>
    </row>
    <row r="5" spans="1:10" ht="15.75" customHeight="1" x14ac:dyDescent="0.15">
      <c r="A5" s="7" t="s">
        <v>18</v>
      </c>
      <c r="B5" s="60">
        <v>0.22900000000000001</v>
      </c>
      <c r="C5" s="10">
        <v>0</v>
      </c>
      <c r="D5" s="10">
        <v>0</v>
      </c>
      <c r="E5" s="10">
        <v>0</v>
      </c>
      <c r="F5" s="10">
        <v>0</v>
      </c>
      <c r="G5" s="22">
        <v>0</v>
      </c>
      <c r="H5" s="22">
        <v>0</v>
      </c>
      <c r="I5" s="22">
        <v>0</v>
      </c>
      <c r="J5" s="22">
        <v>0</v>
      </c>
    </row>
    <row r="6" spans="1:10" ht="15.75" customHeight="1" x14ac:dyDescent="0.15">
      <c r="A6" s="7" t="s">
        <v>21</v>
      </c>
      <c r="B6" s="60">
        <v>0.29699999999999999</v>
      </c>
      <c r="C6" s="10">
        <v>0</v>
      </c>
      <c r="D6" s="10">
        <v>0</v>
      </c>
      <c r="E6" s="10">
        <v>0</v>
      </c>
      <c r="F6" s="10">
        <v>0</v>
      </c>
      <c r="G6" s="22">
        <v>0</v>
      </c>
      <c r="H6" s="22">
        <v>0</v>
      </c>
      <c r="I6" s="22">
        <v>0</v>
      </c>
      <c r="J6" s="22">
        <v>0</v>
      </c>
    </row>
    <row r="7" spans="1:10" ht="15.75" customHeight="1" x14ac:dyDescent="0.15">
      <c r="A7" s="7" t="s">
        <v>22</v>
      </c>
      <c r="B7" s="60">
        <v>6.0000000000000001E-3</v>
      </c>
      <c r="C7" s="10">
        <v>0</v>
      </c>
      <c r="D7" s="10">
        <v>0</v>
      </c>
      <c r="E7" s="10">
        <v>0</v>
      </c>
      <c r="F7" s="10">
        <v>0</v>
      </c>
      <c r="G7" s="22">
        <v>0</v>
      </c>
      <c r="H7" s="22">
        <v>0</v>
      </c>
      <c r="I7" s="22">
        <v>0</v>
      </c>
      <c r="J7" s="22">
        <v>0</v>
      </c>
    </row>
    <row r="8" spans="1:10" ht="15.75" customHeight="1" x14ac:dyDescent="0.15">
      <c r="A8" s="7" t="s">
        <v>43</v>
      </c>
      <c r="B8" s="60">
        <v>0.127</v>
      </c>
      <c r="C8" s="10">
        <v>0</v>
      </c>
      <c r="D8" s="10">
        <v>0</v>
      </c>
      <c r="E8" s="10">
        <v>0</v>
      </c>
      <c r="F8" s="10">
        <v>0</v>
      </c>
      <c r="G8" s="22">
        <v>0</v>
      </c>
      <c r="H8" s="22">
        <v>0</v>
      </c>
      <c r="I8" s="22">
        <v>0</v>
      </c>
      <c r="J8" s="22">
        <v>0</v>
      </c>
    </row>
    <row r="9" spans="1:10" ht="15.75" customHeight="1" x14ac:dyDescent="0.15">
      <c r="A9" s="7" t="s">
        <v>24</v>
      </c>
      <c r="B9" s="60">
        <v>7.5999999999999998E-2</v>
      </c>
      <c r="C9" s="10">
        <v>0</v>
      </c>
      <c r="D9" s="10">
        <v>0</v>
      </c>
      <c r="E9" s="10">
        <v>0</v>
      </c>
      <c r="F9" s="10">
        <v>0</v>
      </c>
      <c r="G9" s="22">
        <v>0</v>
      </c>
      <c r="H9" s="22">
        <v>0</v>
      </c>
      <c r="I9" s="22">
        <v>0</v>
      </c>
      <c r="J9" s="22">
        <v>0</v>
      </c>
    </row>
    <row r="10" spans="1:10" ht="15.75" customHeight="1" x14ac:dyDescent="0.15">
      <c r="A10" s="7" t="s">
        <v>206</v>
      </c>
      <c r="B10" s="60">
        <v>0</v>
      </c>
      <c r="C10" s="60">
        <f>14.81% * 0.2</f>
        <v>2.9620000000000004E-2</v>
      </c>
      <c r="D10" s="60">
        <v>0.14810000000000001</v>
      </c>
      <c r="E10" s="60">
        <v>0.14810000000000001</v>
      </c>
      <c r="F10" s="60">
        <v>0.14810000000000001</v>
      </c>
      <c r="G10" s="22">
        <v>0</v>
      </c>
      <c r="H10" s="22">
        <v>0</v>
      </c>
      <c r="I10" s="22">
        <v>0</v>
      </c>
      <c r="J10" s="22">
        <v>0</v>
      </c>
    </row>
    <row r="11" spans="1:10" ht="15.75" customHeight="1" x14ac:dyDescent="0.15">
      <c r="A11" s="7" t="s">
        <v>209</v>
      </c>
      <c r="B11" s="60">
        <v>0</v>
      </c>
      <c r="C11" s="60">
        <v>0</v>
      </c>
      <c r="D11" s="60">
        <v>0</v>
      </c>
      <c r="E11" s="60">
        <v>0</v>
      </c>
      <c r="F11" s="60">
        <v>0</v>
      </c>
      <c r="G11" s="22">
        <v>0</v>
      </c>
      <c r="H11" s="22">
        <v>0</v>
      </c>
      <c r="I11" s="22">
        <v>0</v>
      </c>
      <c r="J11" s="22">
        <v>0</v>
      </c>
    </row>
    <row r="12" spans="1:10" ht="15.75" customHeight="1" x14ac:dyDescent="0.15">
      <c r="A12" s="7" t="s">
        <v>28</v>
      </c>
      <c r="B12" s="60">
        <v>0</v>
      </c>
      <c r="C12" s="60">
        <v>0.2883</v>
      </c>
      <c r="D12" s="60">
        <v>0.2883</v>
      </c>
      <c r="E12" s="60">
        <v>0.2883</v>
      </c>
      <c r="F12" s="60">
        <v>0.2883</v>
      </c>
      <c r="G12" s="22">
        <v>0</v>
      </c>
      <c r="H12" s="22">
        <v>0</v>
      </c>
      <c r="I12" s="22">
        <v>0</v>
      </c>
      <c r="J12" s="22">
        <v>0</v>
      </c>
    </row>
    <row r="13" spans="1:10" ht="15.75" customHeight="1" x14ac:dyDescent="0.15">
      <c r="A13" s="7" t="s">
        <v>29</v>
      </c>
      <c r="B13" s="60">
        <v>0</v>
      </c>
      <c r="C13" s="60">
        <v>4.1000000000000002E-2</v>
      </c>
      <c r="D13" s="60">
        <v>4.1000000000000002E-2</v>
      </c>
      <c r="E13" s="60">
        <v>4.1000000000000002E-2</v>
      </c>
      <c r="F13" s="60">
        <v>4.1000000000000002E-2</v>
      </c>
      <c r="G13" s="22">
        <v>0</v>
      </c>
      <c r="H13" s="22">
        <v>0</v>
      </c>
      <c r="I13" s="22">
        <v>0</v>
      </c>
      <c r="J13" s="22">
        <v>0</v>
      </c>
    </row>
    <row r="14" spans="1:10" ht="15.75" customHeight="1" x14ac:dyDescent="0.15">
      <c r="A14" s="7" t="s">
        <v>30</v>
      </c>
      <c r="B14" s="10">
        <v>0</v>
      </c>
      <c r="C14" s="60">
        <v>5.0099999999999999E-2</v>
      </c>
      <c r="D14" s="60">
        <v>5.0099999999999999E-2</v>
      </c>
      <c r="E14" s="60">
        <v>5.0099999999999999E-2</v>
      </c>
      <c r="F14" s="60">
        <v>5.0099999999999999E-2</v>
      </c>
      <c r="G14" s="22">
        <v>0</v>
      </c>
      <c r="H14" s="22">
        <v>0</v>
      </c>
      <c r="I14" s="22">
        <v>0</v>
      </c>
      <c r="J14" s="22">
        <v>0</v>
      </c>
    </row>
    <row r="15" spans="1:10" ht="15.75" customHeight="1" x14ac:dyDescent="0.15">
      <c r="A15" s="7" t="s">
        <v>31</v>
      </c>
      <c r="B15" s="10">
        <v>0</v>
      </c>
      <c r="C15" s="60">
        <v>6.0000000000000001E-3</v>
      </c>
      <c r="D15" s="60">
        <v>6.0000000000000001E-3</v>
      </c>
      <c r="E15" s="60">
        <v>6.0000000000000001E-3</v>
      </c>
      <c r="F15" s="60">
        <v>6.0000000000000001E-3</v>
      </c>
      <c r="G15" s="22">
        <v>0</v>
      </c>
      <c r="H15" s="22">
        <v>0</v>
      </c>
      <c r="I15" s="22">
        <v>0</v>
      </c>
      <c r="J15" s="22">
        <v>0</v>
      </c>
    </row>
    <row r="16" spans="1:10" ht="15.75" customHeight="1" x14ac:dyDescent="0.15">
      <c r="A16" s="7" t="s">
        <v>32</v>
      </c>
      <c r="B16" s="10">
        <v>0</v>
      </c>
      <c r="C16" s="60">
        <v>0.01</v>
      </c>
      <c r="D16" s="60">
        <v>0.01</v>
      </c>
      <c r="E16" s="60">
        <v>0.01</v>
      </c>
      <c r="F16" s="60">
        <v>0.01</v>
      </c>
      <c r="G16" s="22">
        <v>0</v>
      </c>
      <c r="H16" s="22">
        <v>0</v>
      </c>
      <c r="I16" s="22">
        <v>0</v>
      </c>
      <c r="J16" s="22">
        <v>0</v>
      </c>
    </row>
    <row r="17" spans="1:10" ht="15.75" customHeight="1" x14ac:dyDescent="0.15">
      <c r="A17" s="7" t="s">
        <v>33</v>
      </c>
      <c r="B17" s="10">
        <v>0</v>
      </c>
      <c r="C17" s="60">
        <v>0</v>
      </c>
      <c r="D17" s="60">
        <v>0</v>
      </c>
      <c r="E17" s="60">
        <v>0</v>
      </c>
      <c r="F17" s="60">
        <v>0</v>
      </c>
      <c r="G17" s="22">
        <v>0</v>
      </c>
      <c r="H17" s="22">
        <v>0</v>
      </c>
      <c r="I17" s="22">
        <v>0</v>
      </c>
      <c r="J17" s="22">
        <v>0</v>
      </c>
    </row>
    <row r="18" spans="1:10" ht="15.75" customHeight="1" x14ac:dyDescent="0.15">
      <c r="A18" s="7" t="s">
        <v>34</v>
      </c>
      <c r="B18" s="10">
        <v>0</v>
      </c>
      <c r="C18" s="60">
        <v>0.14510000000000001</v>
      </c>
      <c r="D18" s="60">
        <v>0.14510000000000001</v>
      </c>
      <c r="E18" s="60">
        <v>0.14510000000000001</v>
      </c>
      <c r="F18" s="60">
        <v>0.14510000000000001</v>
      </c>
      <c r="G18" s="22">
        <v>0</v>
      </c>
      <c r="H18" s="22">
        <v>0</v>
      </c>
      <c r="I18" s="22">
        <v>0</v>
      </c>
      <c r="J18" s="22">
        <v>0</v>
      </c>
    </row>
    <row r="19" spans="1:10" ht="15.75" customHeight="1" x14ac:dyDescent="0.15">
      <c r="A19" s="7" t="s">
        <v>35</v>
      </c>
      <c r="B19" s="10">
        <v>0</v>
      </c>
      <c r="C19" s="60">
        <v>0.31130000000000002</v>
      </c>
      <c r="D19" s="60">
        <v>0.31130000000000002</v>
      </c>
      <c r="E19" s="60">
        <v>0.31130000000000002</v>
      </c>
      <c r="F19" s="60">
        <v>0.31130000000000002</v>
      </c>
      <c r="G19" s="22">
        <v>0</v>
      </c>
      <c r="H19" s="22">
        <v>0</v>
      </c>
      <c r="I19" s="22">
        <v>0</v>
      </c>
      <c r="J19" s="22">
        <v>0</v>
      </c>
    </row>
    <row r="20" spans="1:10" ht="15.75" customHeight="1" x14ac:dyDescent="0.15">
      <c r="A20" s="7" t="s">
        <v>79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61">
        <v>2.5899999999999999E-2</v>
      </c>
      <c r="H20" s="61">
        <v>2.5899999999999999E-2</v>
      </c>
      <c r="I20" s="61">
        <v>2.5899999999999999E-2</v>
      </c>
      <c r="J20" s="61">
        <v>2.5899999999999999E-2</v>
      </c>
    </row>
    <row r="21" spans="1:10" ht="15.75" customHeight="1" x14ac:dyDescent="0.15">
      <c r="A21" s="7" t="s">
        <v>80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61">
        <v>7.1000000000000004E-3</v>
      </c>
      <c r="H21" s="61">
        <v>7.1000000000000004E-3</v>
      </c>
      <c r="I21" s="61">
        <v>7.1000000000000004E-3</v>
      </c>
      <c r="J21" s="61">
        <v>7.1000000000000004E-3</v>
      </c>
    </row>
    <row r="22" spans="1:10" ht="15.75" customHeight="1" x14ac:dyDescent="0.15">
      <c r="A22" s="7" t="s">
        <v>81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61">
        <v>0.25590000000000002</v>
      </c>
      <c r="H22" s="61">
        <v>0.25590000000000002</v>
      </c>
      <c r="I22" s="61">
        <v>0.25590000000000002</v>
      </c>
      <c r="J22" s="61">
        <v>0.25590000000000002</v>
      </c>
    </row>
    <row r="23" spans="1:10" ht="15.75" customHeight="1" x14ac:dyDescent="0.15">
      <c r="A23" s="7" t="s">
        <v>82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61">
        <v>0.1464</v>
      </c>
      <c r="H23" s="61">
        <v>0.1464</v>
      </c>
      <c r="I23" s="61">
        <v>0.1464</v>
      </c>
      <c r="J23" s="61">
        <v>0.1464</v>
      </c>
    </row>
    <row r="24" spans="1:10" ht="15.75" customHeight="1" x14ac:dyDescent="0.15">
      <c r="A24" s="7" t="s">
        <v>83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61">
        <v>1.7600000000000001E-2</v>
      </c>
      <c r="H24" s="61">
        <v>1.7600000000000001E-2</v>
      </c>
      <c r="I24" s="61">
        <v>1.7600000000000001E-2</v>
      </c>
      <c r="J24" s="61">
        <v>1.7600000000000001E-2</v>
      </c>
    </row>
    <row r="25" spans="1:10" ht="15.75" customHeight="1" x14ac:dyDescent="0.15">
      <c r="A25" s="7" t="s">
        <v>84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61">
        <v>1.8100000000000002E-2</v>
      </c>
      <c r="H25" s="61">
        <v>1.8100000000000002E-2</v>
      </c>
      <c r="I25" s="61">
        <v>1.8100000000000002E-2</v>
      </c>
      <c r="J25" s="61">
        <v>1.8100000000000002E-2</v>
      </c>
    </row>
    <row r="26" spans="1:10" ht="15.75" customHeight="1" x14ac:dyDescent="0.15">
      <c r="A26" s="7" t="s">
        <v>85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61">
        <v>1.14E-2</v>
      </c>
      <c r="H26" s="61">
        <v>1.14E-2</v>
      </c>
      <c r="I26" s="61">
        <v>1.14E-2</v>
      </c>
      <c r="J26" s="61">
        <v>1.14E-2</v>
      </c>
    </row>
    <row r="27" spans="1:10" ht="15.75" customHeight="1" x14ac:dyDescent="0.15">
      <c r="A27" s="7" t="s">
        <v>86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61">
        <v>0.15129999999999999</v>
      </c>
      <c r="H27" s="61">
        <v>0.15129999999999999</v>
      </c>
      <c r="I27" s="61">
        <v>0.15129999999999999</v>
      </c>
      <c r="J27" s="61">
        <v>0.15129999999999999</v>
      </c>
    </row>
    <row r="28" spans="1:10" ht="15.75" customHeight="1" x14ac:dyDescent="0.15">
      <c r="A28" s="7" t="s">
        <v>87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61">
        <v>0.36630000000000001</v>
      </c>
      <c r="H28" s="61">
        <v>0.36630000000000001</v>
      </c>
      <c r="I28" s="61">
        <v>0.36630000000000001</v>
      </c>
      <c r="J28" s="61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F6"/>
  <sheetViews>
    <sheetView workbookViewId="0">
      <selection activeCell="E49" sqref="E49"/>
    </sheetView>
    <sheetView workbookViewId="1"/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206</v>
      </c>
      <c r="B2" s="12">
        <v>2.4300000000000002</v>
      </c>
      <c r="C2" s="12">
        <v>2.4300000000000002</v>
      </c>
      <c r="D2" s="12">
        <v>3.71</v>
      </c>
      <c r="E2" s="12">
        <v>3</v>
      </c>
      <c r="F2" s="12">
        <v>1.92</v>
      </c>
    </row>
    <row r="3" spans="1:6" ht="15.75" customHeight="1" x14ac:dyDescent="0.15">
      <c r="A3" t="s">
        <v>209</v>
      </c>
      <c r="B3" s="22">
        <v>5.1999999999999998E-2</v>
      </c>
      <c r="C3" s="22">
        <v>5.1999999999999998E-2</v>
      </c>
      <c r="D3" s="22">
        <v>5.1999999999999998E-2</v>
      </c>
      <c r="E3" s="22">
        <v>5.1999999999999998E-2</v>
      </c>
      <c r="F3" s="22">
        <v>5.1999999999999998E-2</v>
      </c>
    </row>
    <row r="4" spans="1:6" ht="15.75" customHeight="1" x14ac:dyDescent="0.15">
      <c r="A4" s="4" t="s">
        <v>28</v>
      </c>
      <c r="B4" s="10">
        <v>3.5999999999999997E-2</v>
      </c>
      <c r="C4" s="10">
        <v>3.5999999999999997E-2</v>
      </c>
      <c r="D4" s="10">
        <v>3.5999999999999997E-2</v>
      </c>
      <c r="E4" s="10">
        <v>3.5999999999999997E-2</v>
      </c>
      <c r="F4" s="10">
        <v>3.5999999999999997E-2</v>
      </c>
    </row>
    <row r="5" spans="1:6" ht="15.75" customHeight="1" x14ac:dyDescent="0.15">
      <c r="A5" s="4" t="s">
        <v>140</v>
      </c>
      <c r="B5" s="109">
        <f>Distributions!C10 * 2.6</f>
        <v>0.39</v>
      </c>
      <c r="C5" s="109">
        <f>Distributions!D10 * 2.6</f>
        <v>0.39</v>
      </c>
      <c r="D5" s="109">
        <f>Distributions!E10 * 2.6</f>
        <v>0.33540000000000003</v>
      </c>
      <c r="E5" s="109">
        <f>Distributions!F10 * 2.6</f>
        <v>0.28600000000000003</v>
      </c>
      <c r="F5" s="109">
        <f>Distributions!G10 * 2.6</f>
        <v>0.27300000000000002</v>
      </c>
    </row>
    <row r="6" spans="1:6" ht="15.75" customHeight="1" x14ac:dyDescent="0.15">
      <c r="A6" s="4" t="s">
        <v>141</v>
      </c>
      <c r="B6" s="109">
        <f>Distributions!C11 * 2.6</f>
        <v>0.12740000000000001</v>
      </c>
      <c r="C6" s="109">
        <f>Distributions!D11 * 2.6</f>
        <v>0.12740000000000001</v>
      </c>
      <c r="D6" s="109">
        <f>Distributions!E11 * 2.6</f>
        <v>0.13780000000000001</v>
      </c>
      <c r="E6" s="109">
        <f>Distributions!F11 * 2.6</f>
        <v>0.10659999999999999</v>
      </c>
      <c r="F6" s="109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O10"/>
  <sheetViews>
    <sheetView workbookViewId="0">
      <selection activeCell="E49" sqref="E49"/>
    </sheetView>
    <sheetView workbookViewId="1"/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7" t="s">
        <v>190</v>
      </c>
      <c r="B1" s="7" t="s">
        <v>12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108</v>
      </c>
      <c r="I1" s="7" t="s">
        <v>109</v>
      </c>
      <c r="J1" s="7" t="s">
        <v>110</v>
      </c>
      <c r="K1" s="7" t="s">
        <v>111</v>
      </c>
      <c r="L1" s="7" t="s">
        <v>104</v>
      </c>
      <c r="M1" s="7" t="s">
        <v>105</v>
      </c>
      <c r="N1" s="7" t="s">
        <v>106</v>
      </c>
      <c r="O1" s="7" t="s">
        <v>107</v>
      </c>
    </row>
    <row r="2" spans="1:15" x14ac:dyDescent="0.15">
      <c r="A2" s="7" t="s">
        <v>197</v>
      </c>
      <c r="B2" t="s">
        <v>199</v>
      </c>
      <c r="C2" s="110">
        <f t="shared" ref="C2:O2" si="0">1-C3</f>
        <v>0.95</v>
      </c>
      <c r="D2" s="110">
        <f t="shared" si="0"/>
        <v>0.95</v>
      </c>
      <c r="E2" s="110">
        <f t="shared" si="0"/>
        <v>0.68920000000000003</v>
      </c>
      <c r="F2" s="110">
        <f t="shared" si="0"/>
        <v>0.76900000000000002</v>
      </c>
      <c r="G2" s="110">
        <f t="shared" si="0"/>
        <v>0.82065999999999995</v>
      </c>
      <c r="H2" s="110">
        <f t="shared" si="0"/>
        <v>0.76419999999999999</v>
      </c>
      <c r="I2" s="110">
        <f t="shared" si="0"/>
        <v>0.76419999999999999</v>
      </c>
      <c r="J2" s="110">
        <f t="shared" si="0"/>
        <v>0.76419999999999999</v>
      </c>
      <c r="K2" s="110">
        <f t="shared" si="0"/>
        <v>0.76419999999999999</v>
      </c>
      <c r="L2" s="110">
        <f t="shared" si="0"/>
        <v>0.7762</v>
      </c>
      <c r="M2" s="110">
        <f t="shared" si="0"/>
        <v>0.7762</v>
      </c>
      <c r="N2" s="110">
        <f t="shared" si="0"/>
        <v>0.7762</v>
      </c>
      <c r="O2" s="110">
        <f t="shared" si="0"/>
        <v>0.7762</v>
      </c>
    </row>
    <row r="3" spans="1:15" x14ac:dyDescent="0.15">
      <c r="B3" t="s">
        <v>200</v>
      </c>
      <c r="C3" s="110">
        <f>C6</f>
        <v>0.05</v>
      </c>
      <c r="D3" s="110">
        <f t="shared" ref="D3:N3" si="1">D6</f>
        <v>0.05</v>
      </c>
      <c r="E3" s="110">
        <f t="shared" si="1"/>
        <v>0.31079999999999997</v>
      </c>
      <c r="F3" s="110">
        <f t="shared" si="1"/>
        <v>0.23100000000000001</v>
      </c>
      <c r="G3" s="110">
        <f t="shared" si="1"/>
        <v>0.17934</v>
      </c>
      <c r="H3" s="110">
        <f t="shared" si="1"/>
        <v>0.23580000000000001</v>
      </c>
      <c r="I3" s="110">
        <f t="shared" si="1"/>
        <v>0.23580000000000001</v>
      </c>
      <c r="J3" s="110">
        <f t="shared" si="1"/>
        <v>0.23580000000000001</v>
      </c>
      <c r="K3" s="110">
        <f t="shared" si="1"/>
        <v>0.23580000000000001</v>
      </c>
      <c r="L3" s="110">
        <f t="shared" si="1"/>
        <v>0.2238</v>
      </c>
      <c r="M3" s="110">
        <f t="shared" si="1"/>
        <v>0.2238</v>
      </c>
      <c r="N3" s="110">
        <f t="shared" si="1"/>
        <v>0.2238</v>
      </c>
      <c r="O3" s="110">
        <f>O6</f>
        <v>0.2238</v>
      </c>
    </row>
    <row r="4" spans="1:15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15">
      <c r="A5" s="7" t="s">
        <v>191</v>
      </c>
      <c r="B5" t="s">
        <v>200</v>
      </c>
      <c r="C5" s="26">
        <v>0.1</v>
      </c>
      <c r="D5" s="26">
        <v>0.1</v>
      </c>
      <c r="E5" s="64">
        <v>0.74</v>
      </c>
      <c r="F5" s="64">
        <v>0.55000000000000004</v>
      </c>
      <c r="G5" s="64">
        <v>0.42699999999999999</v>
      </c>
      <c r="H5" s="65">
        <v>0.48149999999999998</v>
      </c>
      <c r="I5" s="65">
        <v>0.48149999999999998</v>
      </c>
      <c r="J5" s="65">
        <v>0.48149999999999998</v>
      </c>
      <c r="K5" s="65">
        <v>0.48149999999999998</v>
      </c>
      <c r="L5" s="65">
        <v>0.43469999999999998</v>
      </c>
      <c r="M5" s="65">
        <v>0.43469999999999998</v>
      </c>
      <c r="N5" s="65">
        <v>0.43469999999999998</v>
      </c>
      <c r="O5" s="65">
        <v>0.43469999999999998</v>
      </c>
    </row>
    <row r="6" spans="1:15" x14ac:dyDescent="0.15">
      <c r="A6" s="7" t="s">
        <v>192</v>
      </c>
      <c r="B6" t="s">
        <v>200</v>
      </c>
      <c r="C6" s="26">
        <v>0.05</v>
      </c>
      <c r="D6" s="26">
        <v>0.05</v>
      </c>
      <c r="E6" s="64">
        <v>0.31079999999999997</v>
      </c>
      <c r="F6" s="64">
        <v>0.23100000000000001</v>
      </c>
      <c r="G6" s="64">
        <v>0.17934</v>
      </c>
      <c r="H6" s="65">
        <v>0.23580000000000001</v>
      </c>
      <c r="I6" s="65">
        <v>0.23580000000000001</v>
      </c>
      <c r="J6" s="65">
        <v>0.23580000000000001</v>
      </c>
      <c r="K6" s="65">
        <v>0.23580000000000001</v>
      </c>
      <c r="L6" s="65">
        <v>0.2238</v>
      </c>
      <c r="M6" s="65">
        <v>0.2238</v>
      </c>
      <c r="N6" s="65">
        <v>0.2238</v>
      </c>
      <c r="O6" s="65">
        <v>0.2238</v>
      </c>
    </row>
    <row r="7" spans="1:15" x14ac:dyDescent="0.15">
      <c r="A7" s="111" t="s">
        <v>193</v>
      </c>
      <c r="B7" t="s">
        <v>200</v>
      </c>
      <c r="C7" s="64">
        <v>0.01</v>
      </c>
      <c r="D7" s="64">
        <v>0.01</v>
      </c>
      <c r="E7" s="64">
        <v>0.01</v>
      </c>
      <c r="F7" s="64">
        <v>0.01</v>
      </c>
      <c r="G7" s="64">
        <v>0.01</v>
      </c>
      <c r="H7" s="64">
        <v>6.0000000000000001E-3</v>
      </c>
      <c r="I7" s="64">
        <v>6.0000000000000001E-3</v>
      </c>
      <c r="J7" s="64">
        <v>6.0000000000000001E-3</v>
      </c>
      <c r="K7" s="64">
        <v>6.0000000000000001E-3</v>
      </c>
      <c r="L7" s="64">
        <v>0</v>
      </c>
      <c r="M7" s="64">
        <v>0</v>
      </c>
      <c r="N7" s="64">
        <v>0</v>
      </c>
      <c r="O7" s="64">
        <v>0</v>
      </c>
    </row>
    <row r="10" spans="1:15" x14ac:dyDescent="0.15">
      <c r="E10">
        <f>0.42*E5</f>
        <v>0.31079999999999997</v>
      </c>
      <c r="F10">
        <f>0.42*F5</f>
        <v>0.23100000000000001</v>
      </c>
      <c r="G10">
        <f>0.42*G5</f>
        <v>0.17934</v>
      </c>
      <c r="H10">
        <f>0.42*H5</f>
        <v>0.20222999999999999</v>
      </c>
      <c r="I10">
        <f>0.42*I5</f>
        <v>0.20222999999999999</v>
      </c>
      <c r="J10">
        <f>0.42*J5</f>
        <v>0.20222999999999999</v>
      </c>
      <c r="K10">
        <f>0.42*K5</f>
        <v>0.20222999999999999</v>
      </c>
      <c r="L10">
        <f>0.42*L5</f>
        <v>0.18257399999999999</v>
      </c>
      <c r="M10">
        <f>0.42*M5</f>
        <v>0.18257399999999999</v>
      </c>
      <c r="N10">
        <f>0.42*N5</f>
        <v>0.18257399999999999</v>
      </c>
      <c r="O10">
        <f>0.42*O5</f>
        <v>0.18257399999999999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G20"/>
  <sheetViews>
    <sheetView workbookViewId="0">
      <selection activeCell="E49" sqref="E49"/>
    </sheetView>
    <sheetView tabSelected="1" workbookViewId="1">
      <selection activeCell="C16" sqref="C16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</row>
    <row r="2" spans="1:7" ht="15.75" customHeight="1" x14ac:dyDescent="0.15">
      <c r="A2" s="9" t="s">
        <v>13</v>
      </c>
      <c r="B2" s="9" t="s">
        <v>14</v>
      </c>
      <c r="C2" s="137">
        <f>1-_xlfn.NORM.DIST(_xlfn.NORM.INV(SUM(C4:C5), 0, 1) + 1, 0, 1, TRUE)</f>
        <v>0.53200836191885958</v>
      </c>
      <c r="D2" s="137">
        <f t="shared" ref="D2:G2" si="0">1-_xlfn.NORM.DIST(_xlfn.NORM.INV(SUM(D4:D5), 0, 1) + 1, 0, 1, TRUE)</f>
        <v>0.53200836191885958</v>
      </c>
      <c r="E2" s="137">
        <f t="shared" si="0"/>
        <v>0.44274864978114037</v>
      </c>
      <c r="F2" s="137">
        <f t="shared" si="0"/>
        <v>0.24285617786005109</v>
      </c>
      <c r="G2" s="137">
        <f t="shared" si="0"/>
        <v>0.2168920625348294</v>
      </c>
    </row>
    <row r="3" spans="1:7" ht="15.75" customHeight="1" x14ac:dyDescent="0.15">
      <c r="A3" s="8"/>
      <c r="B3" s="9" t="s">
        <v>23</v>
      </c>
      <c r="C3" s="137">
        <f>_xlfn.NORM.DIST(_xlfn.NORM.INV(SUM(C4:C5), 0, 1) + 1, 0, 1, TRUE) - SUM(C4:C5)</f>
        <v>0.3279916380811404</v>
      </c>
      <c r="D3" s="137">
        <f t="shared" ref="D3:G3" si="1">_xlfn.NORM.DIST(_xlfn.NORM.INV(SUM(D4:D5), 0, 1) + 1, 0, 1, TRUE) - SUM(D4:D5)</f>
        <v>0.3279916380811404</v>
      </c>
      <c r="E3" s="137">
        <f t="shared" si="1"/>
        <v>0.36125135021885962</v>
      </c>
      <c r="F3" s="137">
        <f t="shared" si="1"/>
        <v>0.3761438221399489</v>
      </c>
      <c r="G3" s="137">
        <f t="shared" si="1"/>
        <v>0.36910793746517057</v>
      </c>
    </row>
    <row r="4" spans="1:7" ht="15.75" customHeight="1" x14ac:dyDescent="0.15">
      <c r="A4" s="8"/>
      <c r="B4" s="9" t="s">
        <v>25</v>
      </c>
      <c r="C4" s="66">
        <v>0.10199999999999999</v>
      </c>
      <c r="D4" s="66">
        <v>0.10199999999999999</v>
      </c>
      <c r="E4" s="66">
        <v>0.14699999999999999</v>
      </c>
      <c r="F4" s="66">
        <v>0.247</v>
      </c>
      <c r="G4" s="66">
        <v>0.28100000000000003</v>
      </c>
    </row>
    <row r="5" spans="1:7" ht="15.75" customHeight="1" x14ac:dyDescent="0.15">
      <c r="A5" s="8"/>
      <c r="B5" s="9" t="s">
        <v>26</v>
      </c>
      <c r="C5" s="66">
        <v>3.7999999999999999E-2</v>
      </c>
      <c r="D5" s="66">
        <v>3.7999999999999999E-2</v>
      </c>
      <c r="E5" s="66">
        <v>4.9000000000000002E-2</v>
      </c>
      <c r="F5" s="66">
        <v>0.13400000000000001</v>
      </c>
      <c r="G5" s="66">
        <v>0.13300000000000001</v>
      </c>
    </row>
    <row r="6" spans="1:7" ht="15.75" customHeight="1" x14ac:dyDescent="0.15">
      <c r="C6" s="67"/>
      <c r="D6" s="67"/>
      <c r="E6" s="67"/>
      <c r="F6" s="67"/>
      <c r="G6" s="67"/>
    </row>
    <row r="7" spans="1:7" ht="15.75" customHeight="1" x14ac:dyDescent="0.15">
      <c r="C7" s="67"/>
      <c r="D7" s="67"/>
      <c r="E7" s="67"/>
      <c r="F7" s="67"/>
      <c r="G7" s="67"/>
    </row>
    <row r="8" spans="1:7" ht="15.75" customHeight="1" x14ac:dyDescent="0.15">
      <c r="A8" s="4" t="s">
        <v>27</v>
      </c>
      <c r="B8" s="4" t="s">
        <v>14</v>
      </c>
      <c r="C8" s="137">
        <f>1-_xlfn.NORM.DIST(_xlfn.NORM.INV(SUM(C10:C11), 0, 1) + 1, 0, 1, TRUE)</f>
        <v>0.43848891822683433</v>
      </c>
      <c r="D8" s="137">
        <f t="shared" ref="D8:G8" si="2">1-_xlfn.NORM.DIST(_xlfn.NORM.INV(SUM(D10:D11), 0, 1) + 1, 0, 1, TRUE)</f>
        <v>0.43848891822683433</v>
      </c>
      <c r="E8" s="137">
        <f t="shared" si="2"/>
        <v>0.46325746477389407</v>
      </c>
      <c r="F8" s="137">
        <f t="shared" si="2"/>
        <v>0.51282536329943151</v>
      </c>
      <c r="G8" s="137">
        <f t="shared" si="2"/>
        <v>0.55784394006702964</v>
      </c>
    </row>
    <row r="9" spans="1:7" ht="15.75" customHeight="1" x14ac:dyDescent="0.15">
      <c r="B9" s="4" t="s">
        <v>23</v>
      </c>
      <c r="C9" s="137">
        <f>_xlfn.NORM.DIST(_xlfn.NORM.INV(SUM(C10:C11), 0, 1) + 1, 0, 1, TRUE) - SUM(C10:C11)</f>
        <v>0.36251108177316566</v>
      </c>
      <c r="D9" s="137">
        <f t="shared" ref="D9:G9" si="3">_xlfn.NORM.DIST(_xlfn.NORM.INV(SUM(D$10:D$11), 0, 1) + 1, 0, 1, TRUE) - SUM(D$10:D$11)</f>
        <v>0.36251108177316566</v>
      </c>
      <c r="E9" s="137">
        <f t="shared" si="3"/>
        <v>0.35474253522610594</v>
      </c>
      <c r="F9" s="137">
        <f t="shared" si="3"/>
        <v>0.33617463670056846</v>
      </c>
      <c r="G9" s="137">
        <f t="shared" si="3"/>
        <v>0.31615605993297041</v>
      </c>
    </row>
    <row r="10" spans="1:7" ht="15.75" customHeight="1" x14ac:dyDescent="0.15">
      <c r="B10" s="4" t="s">
        <v>140</v>
      </c>
      <c r="C10" s="66">
        <v>0.15</v>
      </c>
      <c r="D10" s="66">
        <v>0.15</v>
      </c>
      <c r="E10" s="66">
        <v>0.129</v>
      </c>
      <c r="F10" s="66">
        <v>0.11</v>
      </c>
      <c r="G10" s="66">
        <v>0.105</v>
      </c>
    </row>
    <row r="11" spans="1:7" ht="15.75" customHeight="1" x14ac:dyDescent="0.15">
      <c r="B11" s="4" t="s">
        <v>141</v>
      </c>
      <c r="C11" s="66">
        <v>4.9000000000000002E-2</v>
      </c>
      <c r="D11" s="66">
        <v>4.9000000000000002E-2</v>
      </c>
      <c r="E11" s="66">
        <v>5.2999999999999999E-2</v>
      </c>
      <c r="F11" s="66">
        <v>4.0999999999999995E-2</v>
      </c>
      <c r="G11" s="66">
        <v>2.1000000000000001E-2</v>
      </c>
    </row>
    <row r="12" spans="1:7" ht="15.75" customHeight="1" x14ac:dyDescent="0.15">
      <c r="C12" s="67"/>
      <c r="D12" s="67"/>
      <c r="E12" s="67"/>
      <c r="F12" s="67"/>
      <c r="G12" s="67"/>
    </row>
    <row r="13" spans="1:7" ht="15.75" customHeight="1" x14ac:dyDescent="0.15">
      <c r="C13" s="67"/>
      <c r="D13" s="67"/>
      <c r="E13" s="67"/>
      <c r="F13" s="67"/>
      <c r="G13" s="67"/>
    </row>
    <row r="14" spans="1:7" ht="15.75" customHeight="1" x14ac:dyDescent="0.15">
      <c r="A14" s="4" t="s">
        <v>36</v>
      </c>
      <c r="B14" s="4" t="s">
        <v>37</v>
      </c>
      <c r="C14" s="66">
        <v>0.80299999999999994</v>
      </c>
      <c r="D14" s="66">
        <v>0.46200000000000002</v>
      </c>
      <c r="E14" s="66">
        <v>3.3000000000000002E-2</v>
      </c>
      <c r="F14" s="66">
        <v>6.9999999999999993E-3</v>
      </c>
      <c r="G14" s="66">
        <v>0</v>
      </c>
    </row>
    <row r="15" spans="1:7" ht="15.75" customHeight="1" x14ac:dyDescent="0.15">
      <c r="B15" s="4" t="s">
        <v>38</v>
      </c>
      <c r="C15" s="66">
        <v>6.8000000000000005E-2</v>
      </c>
      <c r="D15" s="66">
        <v>0.16300000000000001</v>
      </c>
      <c r="E15" s="66">
        <v>9.4E-2</v>
      </c>
      <c r="F15" s="66">
        <v>4.4999999999999998E-2</v>
      </c>
      <c r="G15" s="66">
        <v>0</v>
      </c>
    </row>
    <row r="16" spans="1:7" ht="15.75" customHeight="1" x14ac:dyDescent="0.15">
      <c r="B16" s="4" t="s">
        <v>39</v>
      </c>
      <c r="C16" s="66">
        <v>0.107</v>
      </c>
      <c r="D16" s="66">
        <v>0.37</v>
      </c>
      <c r="E16" s="66">
        <v>0.83700000000000008</v>
      </c>
      <c r="F16" s="66">
        <v>0.879</v>
      </c>
      <c r="G16" s="66">
        <v>0</v>
      </c>
    </row>
    <row r="17" spans="2:7" ht="15.75" customHeight="1" x14ac:dyDescent="0.15">
      <c r="B17" s="4" t="s">
        <v>40</v>
      </c>
      <c r="C17" s="66">
        <v>2.2000000000000002E-2</v>
      </c>
      <c r="D17" s="66">
        <v>5.0000000000000001E-3</v>
      </c>
      <c r="E17" s="66">
        <v>3.6000000000000004E-2</v>
      </c>
      <c r="F17" s="66">
        <v>6.9000000000000006E-2</v>
      </c>
      <c r="G17" s="66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C15"/>
  <sheetViews>
    <sheetView workbookViewId="0">
      <selection activeCell="E49" sqref="E49"/>
    </sheetView>
    <sheetView workbookViewId="1"/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7" t="s">
        <v>223</v>
      </c>
      <c r="B1" s="7" t="s">
        <v>224</v>
      </c>
      <c r="C1" s="7" t="s">
        <v>225</v>
      </c>
    </row>
    <row r="2" spans="1:3" ht="39" x14ac:dyDescent="0.15">
      <c r="A2" s="73" t="s">
        <v>226</v>
      </c>
      <c r="B2" s="79" t="s">
        <v>227</v>
      </c>
      <c r="C2" s="75">
        <v>0.15</v>
      </c>
    </row>
    <row r="3" spans="1:3" ht="52" x14ac:dyDescent="0.15">
      <c r="B3" s="74" t="s">
        <v>228</v>
      </c>
      <c r="C3" s="75">
        <v>0.03</v>
      </c>
    </row>
    <row r="4" spans="1:3" ht="52" x14ac:dyDescent="0.15">
      <c r="B4" s="74" t="s">
        <v>229</v>
      </c>
      <c r="C4" s="75">
        <v>0</v>
      </c>
    </row>
    <row r="5" spans="1:3" ht="39" x14ac:dyDescent="0.15">
      <c r="B5" s="76" t="s">
        <v>230</v>
      </c>
      <c r="C5" s="75">
        <v>0.19</v>
      </c>
    </row>
    <row r="6" spans="1:3" ht="52" x14ac:dyDescent="0.15">
      <c r="B6" s="76" t="s">
        <v>231</v>
      </c>
      <c r="C6" s="75">
        <v>0.39</v>
      </c>
    </row>
    <row r="7" spans="1:3" ht="52" x14ac:dyDescent="0.15">
      <c r="B7" s="76" t="s">
        <v>232</v>
      </c>
      <c r="C7" s="75">
        <v>0.19</v>
      </c>
    </row>
    <row r="8" spans="1:3" ht="26" x14ac:dyDescent="0.15">
      <c r="B8" s="77" t="s">
        <v>233</v>
      </c>
      <c r="C8" s="75">
        <v>1E-3</v>
      </c>
    </row>
    <row r="9" spans="1:3" ht="52" x14ac:dyDescent="0.15">
      <c r="B9" s="77" t="s">
        <v>234</v>
      </c>
      <c r="C9" s="75">
        <v>7.0000000000000001E-3</v>
      </c>
    </row>
    <row r="10" spans="1:3" ht="52" x14ac:dyDescent="0.15">
      <c r="B10" s="77" t="s">
        <v>235</v>
      </c>
      <c r="C10" s="75">
        <v>0.04</v>
      </c>
    </row>
    <row r="11" spans="1:3" x14ac:dyDescent="0.15">
      <c r="C11" s="75"/>
    </row>
    <row r="12" spans="1:3" ht="26" x14ac:dyDescent="0.15">
      <c r="A12" s="73" t="s">
        <v>236</v>
      </c>
      <c r="B12" s="78" t="s">
        <v>237</v>
      </c>
      <c r="C12" s="75">
        <v>0.34</v>
      </c>
    </row>
    <row r="13" spans="1:3" ht="26" x14ac:dyDescent="0.15">
      <c r="B13" s="78" t="s">
        <v>238</v>
      </c>
      <c r="C13" s="75">
        <v>0.05</v>
      </c>
    </row>
    <row r="14" spans="1:3" ht="26" x14ac:dyDescent="0.15">
      <c r="B14" s="78" t="s">
        <v>239</v>
      </c>
      <c r="C14" s="75">
        <v>7.0000000000000007E-2</v>
      </c>
    </row>
    <row r="15" spans="1:3" ht="26" x14ac:dyDescent="0.15">
      <c r="B15" s="78" t="s">
        <v>240</v>
      </c>
      <c r="C15" s="75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G35"/>
  <sheetViews>
    <sheetView workbookViewId="0">
      <selection activeCell="E49" sqref="E49"/>
    </sheetView>
    <sheetView workbookViewId="1"/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7" t="s">
        <v>95</v>
      </c>
      <c r="B1" s="7" t="s">
        <v>56</v>
      </c>
      <c r="C1" s="20" t="s">
        <v>42</v>
      </c>
      <c r="D1" s="7" t="s">
        <v>20</v>
      </c>
      <c r="E1" s="7" t="s">
        <v>19</v>
      </c>
      <c r="F1" s="7" t="s">
        <v>17</v>
      </c>
    </row>
    <row r="2" spans="1:6" ht="15.75" customHeight="1" x14ac:dyDescent="0.15">
      <c r="A2" s="7" t="s">
        <v>11</v>
      </c>
      <c r="B2" t="s">
        <v>55</v>
      </c>
      <c r="C2" s="16">
        <f>1-D2-E2-F2</f>
        <v>0.49547179999999996</v>
      </c>
      <c r="D2" s="11">
        <v>0.3649</v>
      </c>
      <c r="E2" s="11">
        <v>0.1085</v>
      </c>
      <c r="F2" s="11">
        <v>3.1128200000000002E-2</v>
      </c>
    </row>
    <row r="3" spans="1:6" ht="15.75" customHeight="1" x14ac:dyDescent="0.15">
      <c r="A3" s="7"/>
      <c r="C3" s="63"/>
      <c r="D3" s="48"/>
      <c r="E3" s="48"/>
      <c r="F3" s="48"/>
    </row>
    <row r="4" spans="1:6" ht="15.75" customHeight="1" x14ac:dyDescent="0.15">
      <c r="A4" s="7"/>
      <c r="C4" s="63"/>
      <c r="D4" s="48"/>
      <c r="E4" s="48"/>
      <c r="F4" s="48"/>
    </row>
    <row r="5" spans="1:6" ht="15.75" customHeight="1" x14ac:dyDescent="0.15">
      <c r="A5" s="7" t="s">
        <v>189</v>
      </c>
      <c r="B5" t="s">
        <v>203</v>
      </c>
      <c r="C5" s="25"/>
      <c r="D5" s="114">
        <v>1.53</v>
      </c>
      <c r="E5" s="114">
        <v>1.32</v>
      </c>
      <c r="F5" s="114">
        <v>1.53</v>
      </c>
    </row>
    <row r="6" spans="1:6" ht="15.75" customHeight="1" x14ac:dyDescent="0.2">
      <c r="B6" t="s">
        <v>204</v>
      </c>
      <c r="C6" s="121">
        <v>1</v>
      </c>
      <c r="D6" s="121">
        <v>5</v>
      </c>
      <c r="E6" s="121">
        <v>6.4</v>
      </c>
      <c r="F6" s="121">
        <v>46.5</v>
      </c>
    </row>
    <row r="7" spans="1:6" ht="15.75" customHeight="1" x14ac:dyDescent="0.2">
      <c r="B7" t="s">
        <v>140</v>
      </c>
      <c r="C7" s="121">
        <v>1</v>
      </c>
      <c r="D7" s="121">
        <v>2.52</v>
      </c>
      <c r="E7" s="121">
        <v>1.96</v>
      </c>
      <c r="F7" s="121">
        <v>4.1900000000000004</v>
      </c>
    </row>
    <row r="8" spans="1:6" ht="15.75" customHeight="1" x14ac:dyDescent="0.2">
      <c r="B8" t="s">
        <v>141</v>
      </c>
      <c r="C8" s="121">
        <v>1</v>
      </c>
      <c r="D8" s="121">
        <v>2.52</v>
      </c>
      <c r="E8" s="121">
        <v>1.96</v>
      </c>
      <c r="F8" s="121">
        <v>4.1900000000000004</v>
      </c>
    </row>
    <row r="9" spans="1:6" ht="15.75" customHeight="1" x14ac:dyDescent="0.15">
      <c r="A9" s="7"/>
      <c r="C9" s="5"/>
    </row>
    <row r="10" spans="1:6" ht="15.75" customHeight="1" x14ac:dyDescent="0.15">
      <c r="B10" s="7"/>
      <c r="C10" s="20"/>
      <c r="D10" s="7"/>
      <c r="E10" s="7"/>
      <c r="F10" s="7"/>
    </row>
    <row r="11" spans="1:6" ht="15.75" customHeight="1" x14ac:dyDescent="0.15">
      <c r="A11" s="7" t="s">
        <v>188</v>
      </c>
      <c r="B11" s="5" t="s">
        <v>210</v>
      </c>
      <c r="C11" s="127">
        <v>1</v>
      </c>
      <c r="D11" s="114">
        <v>1</v>
      </c>
      <c r="E11" s="127">
        <v>1</v>
      </c>
      <c r="F11" s="127">
        <v>1</v>
      </c>
    </row>
    <row r="12" spans="1:6" ht="15.75" customHeight="1" x14ac:dyDescent="0.15">
      <c r="B12" s="5" t="s">
        <v>15</v>
      </c>
      <c r="C12" s="127">
        <v>1</v>
      </c>
      <c r="D12" s="114">
        <v>2.0699999999999998</v>
      </c>
      <c r="E12" s="127">
        <v>8.02</v>
      </c>
      <c r="F12" s="127">
        <v>11.54</v>
      </c>
    </row>
    <row r="13" spans="1:6" ht="15.75" customHeight="1" x14ac:dyDescent="0.15">
      <c r="B13" s="5" t="s">
        <v>16</v>
      </c>
      <c r="C13" s="127">
        <v>1</v>
      </c>
      <c r="D13" s="114">
        <v>2.0699999999999998</v>
      </c>
      <c r="E13" s="127">
        <v>8.02</v>
      </c>
      <c r="F13" s="127">
        <v>11.54</v>
      </c>
    </row>
    <row r="14" spans="1:6" ht="15.75" customHeight="1" x14ac:dyDescent="0.15">
      <c r="B14" s="5" t="s">
        <v>18</v>
      </c>
      <c r="C14" s="127">
        <v>1</v>
      </c>
      <c r="D14" s="114">
        <v>2.0699999999999998</v>
      </c>
      <c r="E14" s="127">
        <v>8.02</v>
      </c>
      <c r="F14" s="127">
        <v>11.54</v>
      </c>
    </row>
    <row r="15" spans="1:6" ht="15.75" customHeight="1" x14ac:dyDescent="0.15">
      <c r="B15" s="5" t="s">
        <v>21</v>
      </c>
      <c r="C15" s="127">
        <v>1</v>
      </c>
      <c r="D15" s="114">
        <v>1</v>
      </c>
      <c r="E15" s="127">
        <v>999.99</v>
      </c>
      <c r="F15" s="127">
        <v>999.99</v>
      </c>
    </row>
    <row r="16" spans="1:6" ht="15.75" customHeight="1" x14ac:dyDescent="0.15">
      <c r="B16" s="5" t="s">
        <v>22</v>
      </c>
      <c r="C16" s="127">
        <v>1</v>
      </c>
      <c r="D16" s="114">
        <v>1</v>
      </c>
      <c r="E16" s="127">
        <v>1</v>
      </c>
      <c r="F16" s="127">
        <v>1</v>
      </c>
    </row>
    <row r="17" spans="1:7" ht="15.75" customHeight="1" x14ac:dyDescent="0.15">
      <c r="B17" s="5" t="s">
        <v>43</v>
      </c>
      <c r="C17" s="127">
        <v>1</v>
      </c>
      <c r="D17" s="114">
        <v>1</v>
      </c>
      <c r="E17" s="127">
        <v>1</v>
      </c>
      <c r="F17" s="127">
        <v>1</v>
      </c>
    </row>
    <row r="18" spans="1:7" ht="15.75" customHeight="1" x14ac:dyDescent="0.15">
      <c r="B18" s="5" t="s">
        <v>24</v>
      </c>
      <c r="C18" s="127">
        <v>1</v>
      </c>
      <c r="D18" s="114">
        <v>1</v>
      </c>
      <c r="E18" s="127">
        <v>1</v>
      </c>
      <c r="F18" s="127">
        <v>1</v>
      </c>
    </row>
    <row r="20" spans="1:7" ht="15.75" customHeight="1" x14ac:dyDescent="0.15">
      <c r="B20" s="7"/>
    </row>
    <row r="21" spans="1:7" ht="15.75" customHeight="1" x14ac:dyDescent="0.15">
      <c r="A21" s="7" t="s">
        <v>241</v>
      </c>
      <c r="B21" s="80" t="s">
        <v>227</v>
      </c>
      <c r="C21" s="128">
        <v>1</v>
      </c>
      <c r="D21" s="128">
        <v>1.52</v>
      </c>
      <c r="E21" s="128">
        <v>1.75</v>
      </c>
      <c r="F21" s="128">
        <v>3.14</v>
      </c>
      <c r="G21" s="82"/>
    </row>
    <row r="22" spans="1:7" ht="15.75" customHeight="1" x14ac:dyDescent="0.15">
      <c r="B22" s="80" t="s">
        <v>228</v>
      </c>
      <c r="C22" s="128">
        <v>1</v>
      </c>
      <c r="D22" s="128">
        <v>1.2</v>
      </c>
      <c r="E22" s="128">
        <v>1.4</v>
      </c>
      <c r="F22" s="128">
        <v>1.6</v>
      </c>
      <c r="G22" s="82"/>
    </row>
    <row r="23" spans="1:7" ht="15.75" customHeight="1" x14ac:dyDescent="0.15">
      <c r="B23" s="80" t="s">
        <v>229</v>
      </c>
      <c r="C23" s="128">
        <v>1</v>
      </c>
      <c r="D23" s="128">
        <v>1.2</v>
      </c>
      <c r="E23" s="128">
        <v>1.4</v>
      </c>
      <c r="F23" s="128">
        <v>1.6</v>
      </c>
      <c r="G23" s="82"/>
    </row>
    <row r="24" spans="1:7" ht="15.75" customHeight="1" x14ac:dyDescent="0.15">
      <c r="B24" s="83" t="s">
        <v>230</v>
      </c>
      <c r="C24" s="128">
        <v>1</v>
      </c>
      <c r="D24" s="128">
        <v>1.52</v>
      </c>
      <c r="E24" s="128">
        <v>1.75</v>
      </c>
      <c r="F24" s="128">
        <v>1.73</v>
      </c>
      <c r="G24" s="82"/>
    </row>
    <row r="25" spans="1:7" ht="15.75" customHeight="1" x14ac:dyDescent="0.15">
      <c r="B25" s="83" t="s">
        <v>231</v>
      </c>
      <c r="C25" s="128">
        <v>1</v>
      </c>
      <c r="D25" s="128">
        <v>1</v>
      </c>
      <c r="E25" s="128">
        <v>1</v>
      </c>
      <c r="F25" s="128">
        <v>1</v>
      </c>
      <c r="G25" s="82"/>
    </row>
    <row r="26" spans="1:7" ht="15.75" customHeight="1" x14ac:dyDescent="0.15">
      <c r="B26" s="83" t="s">
        <v>232</v>
      </c>
      <c r="C26" s="128">
        <v>1</v>
      </c>
      <c r="D26" s="128">
        <v>1</v>
      </c>
      <c r="E26" s="128">
        <v>1</v>
      </c>
      <c r="F26" s="128">
        <v>1</v>
      </c>
      <c r="G26" s="82"/>
    </row>
    <row r="27" spans="1:7" ht="15.75" customHeight="1" x14ac:dyDescent="0.15">
      <c r="B27" s="84" t="s">
        <v>233</v>
      </c>
      <c r="C27" s="128">
        <v>1</v>
      </c>
      <c r="D27" s="128">
        <v>1.52</v>
      </c>
      <c r="E27" s="128">
        <v>1.75</v>
      </c>
      <c r="F27" s="128">
        <v>1.52</v>
      </c>
      <c r="G27" s="82"/>
    </row>
    <row r="28" spans="1:7" ht="15.75" customHeight="1" x14ac:dyDescent="0.15">
      <c r="B28" s="84" t="s">
        <v>234</v>
      </c>
      <c r="C28" s="128">
        <v>1</v>
      </c>
      <c r="D28" s="128">
        <v>1</v>
      </c>
      <c r="E28" s="128">
        <v>1.33</v>
      </c>
      <c r="F28" s="128">
        <v>1</v>
      </c>
      <c r="G28" s="82"/>
    </row>
    <row r="29" spans="1:7" ht="15.75" customHeight="1" x14ac:dyDescent="0.15">
      <c r="B29" s="84" t="s">
        <v>235</v>
      </c>
      <c r="C29" s="128">
        <v>1</v>
      </c>
      <c r="D29" s="128">
        <v>1</v>
      </c>
      <c r="E29" s="128">
        <v>1.33</v>
      </c>
      <c r="F29" s="128">
        <v>1</v>
      </c>
      <c r="G29" s="82"/>
    </row>
    <row r="30" spans="1:7" ht="15.75" customHeight="1" x14ac:dyDescent="0.15">
      <c r="B30" s="86"/>
      <c r="C30" s="81"/>
      <c r="D30" s="81"/>
      <c r="E30" s="81"/>
      <c r="F30" s="81"/>
      <c r="G30" s="82"/>
    </row>
    <row r="31" spans="1:7" ht="15.75" customHeight="1" x14ac:dyDescent="0.15">
      <c r="B31" s="7"/>
      <c r="C31" s="85"/>
      <c r="D31" s="85"/>
      <c r="E31" s="85"/>
      <c r="F31" s="85"/>
      <c r="G31" s="82"/>
    </row>
    <row r="32" spans="1:7" ht="15.75" customHeight="1" x14ac:dyDescent="0.15">
      <c r="A32" s="7" t="s">
        <v>242</v>
      </c>
      <c r="B32" s="86" t="s">
        <v>237</v>
      </c>
      <c r="C32" s="128">
        <v>1</v>
      </c>
      <c r="D32" s="129">
        <v>1</v>
      </c>
      <c r="E32" s="129">
        <v>1</v>
      </c>
      <c r="F32" s="129">
        <v>1</v>
      </c>
      <c r="G32" s="82"/>
    </row>
    <row r="33" spans="2:7" ht="15.75" customHeight="1" x14ac:dyDescent="0.15">
      <c r="B33" s="86" t="s">
        <v>238</v>
      </c>
      <c r="C33" s="128">
        <v>1</v>
      </c>
      <c r="D33" s="129">
        <v>1.41</v>
      </c>
      <c r="E33" s="129">
        <v>1.49</v>
      </c>
      <c r="F33" s="129">
        <v>3.03</v>
      </c>
      <c r="G33" s="82"/>
    </row>
    <row r="34" spans="2:7" ht="15.75" customHeight="1" x14ac:dyDescent="0.15">
      <c r="B34" s="86" t="s">
        <v>239</v>
      </c>
      <c r="C34" s="128">
        <v>1</v>
      </c>
      <c r="D34" s="129">
        <v>1.18</v>
      </c>
      <c r="E34" s="129">
        <v>1.1000000000000001</v>
      </c>
      <c r="F34" s="129">
        <v>1.77</v>
      </c>
      <c r="G34" s="82"/>
    </row>
    <row r="35" spans="2:7" ht="15.75" customHeight="1" x14ac:dyDescent="0.15">
      <c r="B35" s="86" t="s">
        <v>240</v>
      </c>
      <c r="C35" s="128">
        <v>1</v>
      </c>
      <c r="D35" s="129">
        <v>1</v>
      </c>
      <c r="E35" s="129">
        <v>1</v>
      </c>
      <c r="F35" s="129">
        <v>1</v>
      </c>
      <c r="G35" s="8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15</vt:i4>
      </vt:variant>
    </vt:vector>
  </HeadingPairs>
  <TitlesOfParts>
    <vt:vector size="47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IYCF packages</vt:lpstr>
      <vt:lpstr>IYCF cost &amp; coverage</vt:lpstr>
      <vt:lpstr>Programs to include</vt:lpstr>
      <vt:lpstr>Program dependencies</vt:lpstr>
      <vt:lpstr>Programs annual scale-up</vt:lpstr>
      <vt:lpstr>Programs annual spending</vt:lpstr>
      <vt:lpstr>Reference programs</vt:lpstr>
      <vt:lpstr>Programs cost and coverage</vt:lpstr>
      <vt:lpstr>Appropriate breastfeeding</vt:lpstr>
      <vt:lpstr>IYCF package odds ratios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risk areas</vt:lpstr>
      <vt:lpstr>Population risk areas</vt:lpstr>
      <vt:lpstr>FPCov</vt:lpstr>
      <vt:lpstr>FPunmetNeed</vt:lpstr>
      <vt:lpstr>FracChildrenHF</vt:lpstr>
      <vt:lpstr>FracEatingWheat</vt:lpstr>
      <vt:lpstr>FracEatMaize</vt:lpstr>
      <vt:lpstr>FracEatRice</vt:lpstr>
      <vt:lpstr>FracPoor</vt:lpstr>
      <vt:lpstr>FracPWHF</vt:lpstr>
      <vt:lpstr>FracRiskMalaria</vt:lpstr>
      <vt:lpstr>FracSchoolAttendance</vt:lpstr>
      <vt:lpstr>NumNonPW</vt:lpstr>
      <vt:lpstr>NumPW</vt:lpstr>
      <vt:lpstr>PWDist</vt:lpstr>
      <vt:lpstr>PWPop</vt:lpstr>
      <vt:lpstr>WRAPop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2018-03-09T04:21:19Z</dcterms:modified>
</cp:coreProperties>
</file>