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83E27FB5-CAD1-49F8-B8A0-8F5A9FF3DE8D}" xr6:coauthVersionLast="45" xr6:coauthVersionMax="45" xr10:uidLastSave="{00000000-0000-0000-0000-000000000000}"/>
  <bookViews>
    <workbookView xWindow="-108" yWindow="-108" windowWidth="23256" windowHeight="12576" tabRatio="961" firstSheet="4" activeTab="12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target population" sheetId="21" r:id="rId13"/>
    <sheet name="Programs impacted population" sheetId="62" r:id="rId14"/>
    <sheet name="Program risk areas" sheetId="63" state="hidden" r:id="rId15"/>
    <sheet name="Population risk areas" sheetId="64" state="hidden" r:id="rId16"/>
    <sheet name="IYCF odds ratios" sheetId="65" state="hidden" r:id="rId17"/>
    <sheet name="Birth outcome risks" sheetId="66" state="hidden" r:id="rId18"/>
    <sheet name="Relative risks" sheetId="67" state="hidden" r:id="rId19"/>
    <sheet name="Odds ratios" sheetId="68" state="hidden" r:id="rId20"/>
    <sheet name="Programs birth outcomes" sheetId="69" state="hidden" r:id="rId21"/>
    <sheet name="Programs anemia" sheetId="70" state="hidden" r:id="rId22"/>
    <sheet name="Programs wasting" sheetId="71" state="hidden" r:id="rId23"/>
    <sheet name="Programs for children" sheetId="72" state="hidden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G7" i="21" l="1"/>
  <c r="F7" i="21"/>
  <c r="E7" i="21"/>
  <c r="D7" i="21"/>
  <c r="C7" i="2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<sst xmlns="http://schemas.openxmlformats.org/spreadsheetml/2006/main" count="1106" uniqueCount="272">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</sst>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3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5848752</v>
      </c>
    </row>
    <row r="8" spans="1:3" ht="15" customHeight="1" x14ac:dyDescent="0.25">
      <c r="B8" s="7" t="s">
        <v>106</v>
      </c>
      <c r="C8" s="66">
        <v>2.5000000000000001E-2</v>
      </c>
    </row>
    <row r="9" spans="1:3" ht="15" customHeight="1" x14ac:dyDescent="0.25">
      <c r="B9" s="9" t="s">
        <v>107</v>
      </c>
      <c r="C9" s="67">
        <v>1</v>
      </c>
    </row>
    <row r="10" spans="1:3" ht="15" customHeight="1" x14ac:dyDescent="0.25">
      <c r="B10" s="9" t="s">
        <v>105</v>
      </c>
      <c r="C10" s="67">
        <v>0.68451698300000008</v>
      </c>
    </row>
    <row r="11" spans="1:3" ht="15" customHeight="1" x14ac:dyDescent="0.25">
      <c r="B11" s="7" t="s">
        <v>108</v>
      </c>
      <c r="C11" s="66">
        <v>0.496</v>
      </c>
    </row>
    <row r="12" spans="1:3" ht="15" customHeight="1" x14ac:dyDescent="0.25">
      <c r="B12" s="7" t="s">
        <v>109</v>
      </c>
      <c r="C12" s="66">
        <v>0.74400000000000011</v>
      </c>
    </row>
    <row r="13" spans="1:3" ht="15" customHeight="1" x14ac:dyDescent="0.25">
      <c r="B13" s="7" t="s">
        <v>110</v>
      </c>
      <c r="C13" s="66">
        <v>0.40700000000000003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9.7699999999999995E-2</v>
      </c>
    </row>
    <row r="24" spans="1:3" ht="15" customHeight="1" x14ac:dyDescent="0.25">
      <c r="B24" s="20" t="s">
        <v>102</v>
      </c>
      <c r="C24" s="67">
        <v>0.48899999999999999</v>
      </c>
    </row>
    <row r="25" spans="1:3" ht="15" customHeight="1" x14ac:dyDescent="0.25">
      <c r="B25" s="20" t="s">
        <v>103</v>
      </c>
      <c r="C25" s="67">
        <v>0.35960000000000003</v>
      </c>
    </row>
    <row r="26" spans="1:3" ht="15" customHeight="1" x14ac:dyDescent="0.25">
      <c r="B26" s="20" t="s">
        <v>104</v>
      </c>
      <c r="C26" s="67">
        <v>5.3699999999999998E-2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0.245</v>
      </c>
    </row>
    <row r="30" spans="1:3" ht="14.25" customHeight="1" x14ac:dyDescent="0.25">
      <c r="B30" s="30" t="s">
        <v>76</v>
      </c>
      <c r="C30" s="69">
        <v>7.0999999999999994E-2</v>
      </c>
    </row>
    <row r="31" spans="1:3" ht="14.25" customHeight="1" x14ac:dyDescent="0.25">
      <c r="B31" s="30" t="s">
        <v>77</v>
      </c>
      <c r="C31" s="69">
        <v>0.13400000000000001</v>
      </c>
    </row>
    <row r="32" spans="1:3" ht="14.25" customHeight="1" x14ac:dyDescent="0.25">
      <c r="B32" s="30" t="s">
        <v>78</v>
      </c>
      <c r="C32" s="69">
        <v>0.55000000000000004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17.100000000000001</v>
      </c>
    </row>
    <row r="38" spans="1:5" ht="15" customHeight="1" x14ac:dyDescent="0.25">
      <c r="B38" s="16" t="s">
        <v>91</v>
      </c>
      <c r="C38" s="68">
        <v>25.3</v>
      </c>
      <c r="D38" s="17"/>
      <c r="E38" s="18"/>
    </row>
    <row r="39" spans="1:5" ht="15" customHeight="1" x14ac:dyDescent="0.25">
      <c r="B39" s="16" t="s">
        <v>90</v>
      </c>
      <c r="C39" s="68">
        <v>30.4</v>
      </c>
      <c r="D39" s="17"/>
      <c r="E39" s="17"/>
    </row>
    <row r="40" spans="1:5" ht="15" customHeight="1" x14ac:dyDescent="0.25">
      <c r="B40" s="16" t="s">
        <v>171</v>
      </c>
      <c r="C40" s="68">
        <v>0.5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15.5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1.46E-2</v>
      </c>
      <c r="D45" s="17"/>
    </row>
    <row r="46" spans="1:5" ht="15.75" customHeight="1" x14ac:dyDescent="0.25">
      <c r="B46" s="16" t="s">
        <v>11</v>
      </c>
      <c r="C46" s="67">
        <v>5.0900000000000001E-2</v>
      </c>
      <c r="D46" s="17"/>
    </row>
    <row r="47" spans="1:5" ht="15.75" customHeight="1" x14ac:dyDescent="0.25">
      <c r="B47" s="16" t="s">
        <v>12</v>
      </c>
      <c r="C47" s="67">
        <v>0.1202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0.81430000000000002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2.2915220487424923</v>
      </c>
      <c r="D51" s="17"/>
    </row>
    <row r="52" spans="1:4" ht="15" customHeight="1" x14ac:dyDescent="0.25">
      <c r="B52" s="16" t="s">
        <v>125</v>
      </c>
      <c r="C52" s="65">
        <v>1.9043541963999899</v>
      </c>
    </row>
    <row r="53" spans="1:4" ht="15.75" customHeight="1" x14ac:dyDescent="0.25">
      <c r="B53" s="16" t="s">
        <v>126</v>
      </c>
      <c r="C53" s="65">
        <v>1.9043541963999899</v>
      </c>
    </row>
    <row r="54" spans="1:4" ht="15.75" customHeight="1" x14ac:dyDescent="0.25">
      <c r="B54" s="16" t="s">
        <v>127</v>
      </c>
      <c r="C54" s="65">
        <v>1.4258854595899899</v>
      </c>
    </row>
    <row r="55" spans="1:4" ht="15.75" customHeight="1" x14ac:dyDescent="0.25">
      <c r="B55" s="16" t="s">
        <v>128</v>
      </c>
      <c r="C55" s="65">
        <v>1.4258854595899899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0.50278893986245587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2.2915220487424923</v>
      </c>
      <c r="C2" s="26">
        <f>'Baseline year population inputs'!C52</f>
        <v>1.9043541963999899</v>
      </c>
      <c r="D2" s="26">
        <f>'Baseline year population inputs'!C53</f>
        <v>1.9043541963999899</v>
      </c>
      <c r="E2" s="26">
        <f>'Baseline year population inputs'!C54</f>
        <v>1.4258854595899899</v>
      </c>
      <c r="F2" s="26">
        <f>'Baseline year population inputs'!C55</f>
        <v>1.4258854595899899</v>
      </c>
    </row>
    <row r="3" spans="1:6" ht="15.75" customHeight="1" x14ac:dyDescent="0.25">
      <c r="A3" s="3" t="s">
        <v>65</v>
      </c>
      <c r="B3" s="26">
        <f>frac_mam_1month * 2.6</f>
        <v>0.1858674974</v>
      </c>
      <c r="C3" s="26">
        <f>frac_mam_1_5months * 2.6</f>
        <v>0.1858674974</v>
      </c>
      <c r="D3" s="26">
        <f>frac_mam_6_11months * 2.6</f>
        <v>0.16206270080000001</v>
      </c>
      <c r="E3" s="26">
        <f>frac_mam_12_23months * 2.6</f>
        <v>8.5501891799999979E-2</v>
      </c>
      <c r="F3" s="26">
        <f>frac_mam_24_59months * 2.6</f>
        <v>7.6982907733333328E-2</v>
      </c>
    </row>
    <row r="4" spans="1:6" ht="15.75" customHeight="1" x14ac:dyDescent="0.25">
      <c r="A4" s="3" t="s">
        <v>66</v>
      </c>
      <c r="B4" s="26">
        <f>frac_sam_1month * 2.6</f>
        <v>0.18952892660000001</v>
      </c>
      <c r="C4" s="26">
        <f>frac_sam_1_5months * 2.6</f>
        <v>0.18952892660000001</v>
      </c>
      <c r="D4" s="26">
        <f>frac_sam_6_11months * 2.6</f>
        <v>8.9980761000000006E-2</v>
      </c>
      <c r="E4" s="26">
        <f>frac_sam_12_23months * 2.6</f>
        <v>5.1998471200000007E-2</v>
      </c>
      <c r="F4" s="26">
        <f>frac_sam_24_59months * 2.6</f>
        <v>5.0011884E-2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G12" sqref="G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2.5000000000000001E-2</v>
      </c>
      <c r="E2" s="93">
        <f>food_insecure</f>
        <v>2.5000000000000001E-2</v>
      </c>
      <c r="F2" s="93">
        <f>food_insecure</f>
        <v>2.5000000000000001E-2</v>
      </c>
      <c r="G2" s="93">
        <f>food_insecure</f>
        <v>2.5000000000000001E-2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2.5000000000000001E-2</v>
      </c>
      <c r="F5" s="93">
        <f>food_insecure</f>
        <v>2.5000000000000001E-2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diarrhoea_1mo/26</f>
        <v>8.8135463413172785E-2</v>
      </c>
      <c r="D7" s="93">
        <f>diarrhoea_1_5mo/26</f>
        <v>7.3244392169230385E-2</v>
      </c>
      <c r="E7" s="93">
        <f>diarrhoea_6_11mo/26</f>
        <v>7.3244392169230385E-2</v>
      </c>
      <c r="F7" s="93">
        <f>diarrhoea_12_23mo/26</f>
        <v>5.4841748445768841E-2</v>
      </c>
      <c r="G7" s="93">
        <f>diarrhoea_24_59mo/26</f>
        <v>5.4841748445768841E-2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2.5000000000000001E-2</v>
      </c>
      <c r="F8" s="93">
        <f>food_insecure</f>
        <v>2.5000000000000001E-2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2.2915220487424923</v>
      </c>
      <c r="D12" s="93">
        <f>diarrhoea_1_5mo</f>
        <v>1.9043541963999899</v>
      </c>
      <c r="E12" s="93">
        <f>diarrhoea_6_11mo</f>
        <v>1.9043541963999899</v>
      </c>
      <c r="F12" s="93">
        <f>diarrhoea_12_23mo</f>
        <v>1.4258854595899899</v>
      </c>
      <c r="G12" s="93">
        <f>diarrhoea_24_59mo</f>
        <v>1.4258854595899899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2.5000000000000001E-2</v>
      </c>
      <c r="I15" s="93">
        <f>food_insecure</f>
        <v>2.5000000000000001E-2</v>
      </c>
      <c r="J15" s="93">
        <f>food_insecure</f>
        <v>2.5000000000000001E-2</v>
      </c>
      <c r="K15" s="93">
        <f>food_insecure</f>
        <v>2.5000000000000001E-2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0.496</v>
      </c>
      <c r="I18" s="93">
        <f>frac_PW_health_facility</f>
        <v>0.496</v>
      </c>
      <c r="J18" s="93">
        <f>frac_PW_health_facility</f>
        <v>0.496</v>
      </c>
      <c r="K18" s="93">
        <f>frac_PW_health_facility</f>
        <v>0.496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0.40700000000000003</v>
      </c>
      <c r="M24" s="93">
        <f>famplan_unmet_need</f>
        <v>0.40700000000000003</v>
      </c>
      <c r="N24" s="93">
        <f>famplan_unmet_need</f>
        <v>0.40700000000000003</v>
      </c>
      <c r="O24" s="93">
        <f>famplan_unmet_need</f>
        <v>0.40700000000000003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0.15624296416924996</v>
      </c>
      <c r="M25" s="93">
        <f>(1-food_insecure)*(0.49)+food_insecure*(0.7)</f>
        <v>0.49525000000000002</v>
      </c>
      <c r="N25" s="93">
        <f>(1-food_insecure)*(0.49)+food_insecure*(0.7)</f>
        <v>0.49525000000000002</v>
      </c>
      <c r="O25" s="93">
        <f>(1-food_insecure)*(0.49)+food_insecure*(0.7)</f>
        <v>0.49525000000000002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6.6961270358249975E-2</v>
      </c>
      <c r="M26" s="93">
        <f>(1-food_insecure)*(0.21)+food_insecure*(0.3)</f>
        <v>0.21224999999999999</v>
      </c>
      <c r="N26" s="93">
        <f>(1-food_insecure)*(0.21)+food_insecure*(0.3)</f>
        <v>0.21224999999999999</v>
      </c>
      <c r="O26" s="93">
        <f>(1-food_insecure)*(0.21)+food_insecure*(0.3)</f>
        <v>0.21224999999999999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9.2278782472499973E-2</v>
      </c>
      <c r="M27" s="93">
        <f>(1-food_insecure)*(0.3)</f>
        <v>0.29249999999999998</v>
      </c>
      <c r="N27" s="93">
        <f>(1-food_insecure)*(0.3)</f>
        <v>0.29249999999999998</v>
      </c>
      <c r="O27" s="93">
        <f>(1-food_insecure)*(0.3)</f>
        <v>0.29249999999999998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0.68451698300000008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1307759.53</v>
      </c>
      <c r="C2" s="75">
        <v>2044000</v>
      </c>
      <c r="D2" s="75">
        <v>3452000</v>
      </c>
      <c r="E2" s="75">
        <v>2605000</v>
      </c>
      <c r="F2" s="75">
        <v>1959000</v>
      </c>
      <c r="G2" s="22">
        <f t="shared" ref="G2:G40" si="0">C2+D2+E2+F2</f>
        <v>10060000</v>
      </c>
      <c r="H2" s="22">
        <f t="shared" ref="H2:H40" si="1">(B2 + stillbirth*B2/(1000-stillbirth))/(1-abortion)</f>
        <v>1526837.8603994092</v>
      </c>
      <c r="I2" s="22">
        <f>G2-H2</f>
        <v>8533162.1396005899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1328198.9952</v>
      </c>
      <c r="C3" s="75">
        <v>2096000</v>
      </c>
      <c r="D3" s="75">
        <v>3538000</v>
      </c>
      <c r="E3" s="75">
        <v>2677000</v>
      </c>
      <c r="F3" s="75">
        <v>2015000</v>
      </c>
      <c r="G3" s="22">
        <f t="shared" si="0"/>
        <v>10326000</v>
      </c>
      <c r="H3" s="22">
        <f t="shared" si="1"/>
        <v>1550701.3831631672</v>
      </c>
      <c r="I3" s="22">
        <f t="shared" ref="I3:I15" si="3">G3-H3</f>
        <v>8775298.6168368328</v>
      </c>
    </row>
    <row r="4" spans="1:9" ht="15.75" customHeight="1" x14ac:dyDescent="0.25">
      <c r="A4" s="92">
        <f t="shared" si="2"/>
        <v>2022</v>
      </c>
      <c r="B4" s="74">
        <v>1348345.8912</v>
      </c>
      <c r="C4" s="75">
        <v>2154000</v>
      </c>
      <c r="D4" s="75">
        <v>3622000</v>
      </c>
      <c r="E4" s="75">
        <v>2750000</v>
      </c>
      <c r="F4" s="75">
        <v>2069000</v>
      </c>
      <c r="G4" s="22">
        <f t="shared" si="0"/>
        <v>10595000</v>
      </c>
      <c r="H4" s="22">
        <f t="shared" si="1"/>
        <v>1574223.3249855519</v>
      </c>
      <c r="I4" s="22">
        <f t="shared" si="3"/>
        <v>9020776.6750144474</v>
      </c>
    </row>
    <row r="5" spans="1:9" ht="15.75" customHeight="1" x14ac:dyDescent="0.25">
      <c r="A5" s="92">
        <f t="shared" si="2"/>
        <v>2023</v>
      </c>
      <c r="B5" s="74">
        <v>1368184.9000000001</v>
      </c>
      <c r="C5" s="75">
        <v>2216000</v>
      </c>
      <c r="D5" s="75">
        <v>3705000</v>
      </c>
      <c r="E5" s="75">
        <v>2825000</v>
      </c>
      <c r="F5" s="75">
        <v>2124000</v>
      </c>
      <c r="G5" s="22">
        <f t="shared" si="0"/>
        <v>10870000</v>
      </c>
      <c r="H5" s="22">
        <f t="shared" si="1"/>
        <v>1597385.801766461</v>
      </c>
      <c r="I5" s="22">
        <f t="shared" si="3"/>
        <v>9272614.1982335392</v>
      </c>
    </row>
    <row r="6" spans="1:9" ht="15.75" customHeight="1" x14ac:dyDescent="0.25">
      <c r="A6" s="92">
        <f t="shared" si="2"/>
        <v>2024</v>
      </c>
      <c r="B6" s="74">
        <v>1387730.8520000002</v>
      </c>
      <c r="C6" s="75">
        <v>2282000</v>
      </c>
      <c r="D6" s="75">
        <v>3790000</v>
      </c>
      <c r="E6" s="75">
        <v>2903000</v>
      </c>
      <c r="F6" s="75">
        <v>2180000</v>
      </c>
      <c r="G6" s="22">
        <f t="shared" si="0"/>
        <v>11155000</v>
      </c>
      <c r="H6" s="22">
        <f t="shared" si="1"/>
        <v>1620206.1283223296</v>
      </c>
      <c r="I6" s="22">
        <f t="shared" si="3"/>
        <v>9534793.8716776706</v>
      </c>
    </row>
    <row r="7" spans="1:9" ht="15.75" customHeight="1" x14ac:dyDescent="0.25">
      <c r="A7" s="92">
        <f t="shared" si="2"/>
        <v>2025</v>
      </c>
      <c r="B7" s="74">
        <v>1406937.6</v>
      </c>
      <c r="C7" s="75">
        <v>2349000</v>
      </c>
      <c r="D7" s="75">
        <v>3878000</v>
      </c>
      <c r="E7" s="75">
        <v>2985000</v>
      </c>
      <c r="F7" s="75">
        <v>2237000</v>
      </c>
      <c r="G7" s="22">
        <f t="shared" si="0"/>
        <v>11449000</v>
      </c>
      <c r="H7" s="22">
        <f t="shared" si="1"/>
        <v>1642630.426787622</v>
      </c>
      <c r="I7" s="22">
        <f t="shared" si="3"/>
        <v>9806369.5732123777</v>
      </c>
    </row>
    <row r="8" spans="1:9" ht="15.75" customHeight="1" x14ac:dyDescent="0.25">
      <c r="A8" s="92">
        <f t="shared" si="2"/>
        <v>2026</v>
      </c>
      <c r="B8" s="74">
        <v>1428934.851</v>
      </c>
      <c r="C8" s="75">
        <v>2418000</v>
      </c>
      <c r="D8" s="75">
        <v>3966000</v>
      </c>
      <c r="E8" s="75">
        <v>3068000</v>
      </c>
      <c r="F8" s="75">
        <v>2294000</v>
      </c>
      <c r="G8" s="22">
        <f t="shared" si="0"/>
        <v>11746000</v>
      </c>
      <c r="H8" s="22">
        <f t="shared" si="1"/>
        <v>1668312.6985516893</v>
      </c>
      <c r="I8" s="22">
        <f t="shared" si="3"/>
        <v>10077687.301448312</v>
      </c>
    </row>
    <row r="9" spans="1:9" ht="15.75" customHeight="1" x14ac:dyDescent="0.25">
      <c r="A9" s="92">
        <f t="shared" si="2"/>
        <v>2027</v>
      </c>
      <c r="B9" s="74">
        <v>1450806.0336</v>
      </c>
      <c r="C9" s="75">
        <v>2490000</v>
      </c>
      <c r="D9" s="75">
        <v>4056000</v>
      </c>
      <c r="E9" s="75">
        <v>3153000</v>
      </c>
      <c r="F9" s="75">
        <v>2355000</v>
      </c>
      <c r="G9" s="22">
        <f t="shared" si="0"/>
        <v>12054000</v>
      </c>
      <c r="H9" s="22">
        <f t="shared" si="1"/>
        <v>1693847.7827008283</v>
      </c>
      <c r="I9" s="22">
        <f t="shared" si="3"/>
        <v>10360152.217299171</v>
      </c>
    </row>
    <row r="10" spans="1:9" ht="15.75" customHeight="1" x14ac:dyDescent="0.25">
      <c r="A10" s="92">
        <f t="shared" si="2"/>
        <v>2028</v>
      </c>
      <c r="B10" s="74">
        <v>1472507.2943999998</v>
      </c>
      <c r="C10" s="75">
        <v>2562000</v>
      </c>
      <c r="D10" s="75">
        <v>4151000</v>
      </c>
      <c r="E10" s="75">
        <v>3241000</v>
      </c>
      <c r="F10" s="75">
        <v>2417000</v>
      </c>
      <c r="G10" s="22">
        <f t="shared" si="0"/>
        <v>12371000</v>
      </c>
      <c r="H10" s="22">
        <f t="shared" si="1"/>
        <v>1719184.4794311831</v>
      </c>
      <c r="I10" s="22">
        <f t="shared" si="3"/>
        <v>10651815.520568818</v>
      </c>
    </row>
    <row r="11" spans="1:9" ht="15.75" customHeight="1" x14ac:dyDescent="0.25">
      <c r="A11" s="92">
        <f t="shared" si="2"/>
        <v>2029</v>
      </c>
      <c r="B11" s="74">
        <v>1493995.8815999997</v>
      </c>
      <c r="C11" s="75">
        <v>2630000</v>
      </c>
      <c r="D11" s="75">
        <v>4253000</v>
      </c>
      <c r="E11" s="75">
        <v>3328000</v>
      </c>
      <c r="F11" s="75">
        <v>2482000</v>
      </c>
      <c r="G11" s="22">
        <f t="shared" si="0"/>
        <v>12693000</v>
      </c>
      <c r="H11" s="22">
        <f t="shared" si="1"/>
        <v>1744272.8750809967</v>
      </c>
      <c r="I11" s="22">
        <f t="shared" si="3"/>
        <v>10948727.124919003</v>
      </c>
    </row>
    <row r="12" spans="1:9" ht="15.75" customHeight="1" x14ac:dyDescent="0.25">
      <c r="A12" s="92">
        <f t="shared" si="2"/>
        <v>2030</v>
      </c>
      <c r="B12" s="74">
        <v>1515315.4380000001</v>
      </c>
      <c r="C12" s="75">
        <v>2693000</v>
      </c>
      <c r="D12" s="75">
        <v>4364000</v>
      </c>
      <c r="E12" s="75">
        <v>3413000</v>
      </c>
      <c r="F12" s="75">
        <v>2550000</v>
      </c>
      <c r="G12" s="22">
        <f t="shared" si="0"/>
        <v>13020000</v>
      </c>
      <c r="H12" s="22">
        <f t="shared" si="1"/>
        <v>1769163.9235740181</v>
      </c>
      <c r="I12" s="22">
        <f t="shared" si="3"/>
        <v>11250836.076425983</v>
      </c>
    </row>
    <row r="13" spans="1:9" ht="15.75" customHeight="1" x14ac:dyDescent="0.25">
      <c r="A13" s="92" t="str">
        <f t="shared" si="2"/>
        <v/>
      </c>
      <c r="B13" s="74">
        <v>2000000</v>
      </c>
      <c r="C13" s="75">
        <v>3367000</v>
      </c>
      <c r="D13" s="75">
        <v>2538000</v>
      </c>
      <c r="E13" s="75">
        <v>1904000</v>
      </c>
      <c r="F13" s="75">
        <v>7.2296139999999997E-3</v>
      </c>
      <c r="G13" s="22">
        <f t="shared" si="0"/>
        <v>7809000.0072296141</v>
      </c>
      <c r="H13" s="22">
        <f t="shared" si="1"/>
        <v>2335043.75288232</v>
      </c>
      <c r="I13" s="22">
        <f t="shared" si="3"/>
        <v>5473956.2543472946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3" sqref="C3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0.16</v>
      </c>
      <c r="E5" s="121">
        <v>0.16</v>
      </c>
      <c r="F5" s="121">
        <v>0.16</v>
      </c>
      <c r="G5" s="121">
        <v>0.16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49"/>
  <sheetViews>
    <sheetView topLeftCell="B25" zoomScaleNormal="100" workbookViewId="0">
      <selection activeCell="D37" sqref="D37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62</v>
      </c>
      <c r="B17" s="53" t="s">
        <v>27</v>
      </c>
      <c r="C17" s="53" t="s">
        <v>267</v>
      </c>
      <c r="D17" s="121">
        <v>0.7</v>
      </c>
      <c r="E17" s="121">
        <v>0</v>
      </c>
      <c r="F17" s="121">
        <v>0</v>
      </c>
      <c r="G17" s="121">
        <v>0</v>
      </c>
      <c r="H17" s="121">
        <v>0</v>
      </c>
      <c r="I17" s="36"/>
    </row>
    <row r="18" spans="1:9" x14ac:dyDescent="0.25">
      <c r="C18" s="53" t="s">
        <v>268</v>
      </c>
      <c r="D18" s="121">
        <v>0.19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A19" s="53" t="s">
        <v>63</v>
      </c>
      <c r="B19" s="53" t="s">
        <v>27</v>
      </c>
      <c r="C19" s="53" t="s">
        <v>267</v>
      </c>
      <c r="D19" s="121">
        <v>0.7</v>
      </c>
      <c r="E19" s="121">
        <v>0</v>
      </c>
      <c r="F19" s="121">
        <v>0</v>
      </c>
      <c r="G19" s="121">
        <v>0</v>
      </c>
      <c r="H19" s="121">
        <v>0</v>
      </c>
    </row>
    <row r="20" spans="1:9" x14ac:dyDescent="0.25">
      <c r="C20" s="53" t="s">
        <v>268</v>
      </c>
      <c r="D20" s="121">
        <v>0.19</v>
      </c>
      <c r="E20" s="121">
        <v>0</v>
      </c>
      <c r="F20" s="121">
        <v>0</v>
      </c>
      <c r="G20" s="121">
        <v>0</v>
      </c>
      <c r="H20" s="121">
        <v>0</v>
      </c>
    </row>
    <row r="21" spans="1:9" x14ac:dyDescent="0.25">
      <c r="A21" s="53" t="s">
        <v>64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</row>
    <row r="23" spans="1:9" x14ac:dyDescent="0.25">
      <c r="A23" s="53" t="s">
        <v>79</v>
      </c>
      <c r="B23" s="53" t="s">
        <v>71</v>
      </c>
      <c r="C23" s="53" t="s">
        <v>267</v>
      </c>
      <c r="D23" s="121">
        <v>1</v>
      </c>
      <c r="E23" s="121">
        <v>1</v>
      </c>
      <c r="F23" s="121">
        <v>1</v>
      </c>
      <c r="G23" s="121">
        <v>1</v>
      </c>
      <c r="H23" s="121">
        <v>1</v>
      </c>
    </row>
    <row r="24" spans="1:9" x14ac:dyDescent="0.25">
      <c r="C24" s="53" t="s">
        <v>268</v>
      </c>
      <c r="D24" s="121">
        <v>0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C25" s="53" t="s">
        <v>269</v>
      </c>
      <c r="D25" s="121">
        <v>0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A26" s="53" t="s">
        <v>80</v>
      </c>
      <c r="B26" s="53" t="s">
        <v>71</v>
      </c>
      <c r="C26" s="53" t="s">
        <v>267</v>
      </c>
      <c r="D26" s="121">
        <v>1</v>
      </c>
      <c r="E26" s="121">
        <v>1</v>
      </c>
      <c r="F26" s="121">
        <v>1</v>
      </c>
      <c r="G26" s="121">
        <v>1</v>
      </c>
      <c r="H26" s="121">
        <v>1</v>
      </c>
    </row>
    <row r="27" spans="1:9" x14ac:dyDescent="0.25">
      <c r="C27" s="53" t="s">
        <v>268</v>
      </c>
      <c r="D27" s="121">
        <v>0</v>
      </c>
      <c r="E27" s="121">
        <v>0</v>
      </c>
      <c r="F27" s="121">
        <v>0</v>
      </c>
      <c r="G27" s="121">
        <v>0</v>
      </c>
      <c r="H27" s="121">
        <v>0</v>
      </c>
    </row>
    <row r="28" spans="1:9" x14ac:dyDescent="0.25">
      <c r="C28" s="53" t="s">
        <v>269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A29" s="53" t="s">
        <v>81</v>
      </c>
      <c r="B29" s="53" t="s">
        <v>71</v>
      </c>
      <c r="C29" s="53" t="s">
        <v>267</v>
      </c>
      <c r="D29" s="121">
        <v>1</v>
      </c>
      <c r="E29" s="121">
        <v>1</v>
      </c>
      <c r="F29" s="121">
        <v>1</v>
      </c>
      <c r="G29" s="121">
        <v>1</v>
      </c>
      <c r="H29" s="121">
        <v>1</v>
      </c>
    </row>
    <row r="30" spans="1:9" x14ac:dyDescent="0.25">
      <c r="C30" s="53" t="s">
        <v>268</v>
      </c>
      <c r="D30" s="121">
        <v>0</v>
      </c>
      <c r="E30" s="121">
        <v>0</v>
      </c>
      <c r="F30" s="121">
        <v>0</v>
      </c>
      <c r="G30" s="121">
        <v>0</v>
      </c>
      <c r="H30" s="121">
        <v>0</v>
      </c>
    </row>
    <row r="31" spans="1:9" x14ac:dyDescent="0.25">
      <c r="C31" s="53" t="s">
        <v>269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A32" s="53" t="s">
        <v>82</v>
      </c>
      <c r="B32" s="53" t="s">
        <v>71</v>
      </c>
      <c r="C32" s="53" t="s">
        <v>267</v>
      </c>
      <c r="D32" s="121">
        <v>1</v>
      </c>
      <c r="E32" s="121">
        <v>1</v>
      </c>
      <c r="F32" s="121">
        <v>1</v>
      </c>
      <c r="G32" s="121">
        <v>1</v>
      </c>
      <c r="H32" s="121">
        <v>1</v>
      </c>
    </row>
    <row r="33" spans="1:8" x14ac:dyDescent="0.25">
      <c r="C33" s="53" t="s">
        <v>268</v>
      </c>
      <c r="D33" s="121">
        <v>0</v>
      </c>
      <c r="E33" s="121">
        <v>0</v>
      </c>
      <c r="F33" s="121">
        <v>0</v>
      </c>
      <c r="G33" s="121">
        <v>0</v>
      </c>
      <c r="H33" s="121">
        <v>0</v>
      </c>
    </row>
    <row r="34" spans="1:8" x14ac:dyDescent="0.25">
      <c r="C34" s="53" t="s">
        <v>269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A35" s="53" t="s">
        <v>83</v>
      </c>
      <c r="B35" s="53" t="s">
        <v>71</v>
      </c>
      <c r="C35" s="53" t="s">
        <v>267</v>
      </c>
      <c r="D35" s="121">
        <v>1</v>
      </c>
      <c r="E35" s="121">
        <v>1</v>
      </c>
      <c r="F35" s="121">
        <v>1</v>
      </c>
      <c r="G35" s="121">
        <v>1</v>
      </c>
      <c r="H35" s="121">
        <v>1</v>
      </c>
    </row>
    <row r="36" spans="1:8" x14ac:dyDescent="0.25">
      <c r="C36" s="53" t="s">
        <v>268</v>
      </c>
      <c r="D36" s="121">
        <v>0</v>
      </c>
      <c r="E36" s="121">
        <v>0</v>
      </c>
      <c r="F36" s="121">
        <v>0</v>
      </c>
      <c r="G36" s="121">
        <v>0</v>
      </c>
      <c r="H36" s="121">
        <v>0</v>
      </c>
    </row>
    <row r="37" spans="1:8" x14ac:dyDescent="0.25">
      <c r="C37" s="53" t="s">
        <v>269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A38" s="53" t="s">
        <v>60</v>
      </c>
      <c r="B38" s="53" t="s">
        <v>71</v>
      </c>
      <c r="C38" s="53" t="s">
        <v>267</v>
      </c>
      <c r="D38" s="121">
        <v>0.3</v>
      </c>
      <c r="E38" s="121">
        <v>0.3</v>
      </c>
      <c r="F38" s="121">
        <v>0.3</v>
      </c>
      <c r="G38" s="121">
        <v>0.3</v>
      </c>
      <c r="H38" s="121">
        <v>0.3</v>
      </c>
    </row>
    <row r="39" spans="1:8" x14ac:dyDescent="0.25">
      <c r="C39" s="53" t="s">
        <v>268</v>
      </c>
      <c r="D39" s="121">
        <v>0.5</v>
      </c>
      <c r="E39" s="121">
        <v>0.5</v>
      </c>
      <c r="F39" s="121">
        <v>0.5</v>
      </c>
      <c r="G39" s="121">
        <v>0.5</v>
      </c>
      <c r="H39" s="121">
        <v>0.5</v>
      </c>
    </row>
    <row r="40" spans="1:8" x14ac:dyDescent="0.25">
      <c r="C40" s="53" t="s">
        <v>269</v>
      </c>
      <c r="D40" s="121">
        <v>0.65</v>
      </c>
      <c r="E40" s="121">
        <v>0.65</v>
      </c>
      <c r="F40" s="121">
        <v>0.65</v>
      </c>
      <c r="G40" s="121">
        <v>0.65</v>
      </c>
      <c r="H40" s="121">
        <v>0.65</v>
      </c>
    </row>
    <row r="41" spans="1:8" x14ac:dyDescent="0.25">
      <c r="B41" s="53" t="s">
        <v>16</v>
      </c>
      <c r="C41" s="53" t="s">
        <v>267</v>
      </c>
      <c r="D41" s="121">
        <v>0.3</v>
      </c>
      <c r="E41" s="121">
        <v>0.3</v>
      </c>
      <c r="F41" s="121">
        <v>0.3</v>
      </c>
      <c r="G41" s="121">
        <v>0.3</v>
      </c>
      <c r="H41" s="121">
        <v>0.3</v>
      </c>
    </row>
    <row r="42" spans="1:8" x14ac:dyDescent="0.25">
      <c r="C42" s="53" t="s">
        <v>268</v>
      </c>
      <c r="D42" s="121">
        <v>0.5</v>
      </c>
      <c r="E42" s="121">
        <v>0.5</v>
      </c>
      <c r="F42" s="121">
        <v>0.5</v>
      </c>
      <c r="G42" s="121">
        <v>0.5</v>
      </c>
      <c r="H42" s="121">
        <v>0.5</v>
      </c>
    </row>
    <row r="43" spans="1:8" x14ac:dyDescent="0.25">
      <c r="C43" s="53" t="s">
        <v>269</v>
      </c>
      <c r="D43" s="121">
        <v>0.63</v>
      </c>
      <c r="E43" s="121">
        <v>0.63</v>
      </c>
      <c r="F43" s="121">
        <v>0.63</v>
      </c>
      <c r="G43" s="121">
        <v>0.63</v>
      </c>
      <c r="H43" s="121">
        <v>0.63</v>
      </c>
    </row>
    <row r="44" spans="1:8" x14ac:dyDescent="0.25">
      <c r="A44" s="53" t="s">
        <v>84</v>
      </c>
      <c r="B44" s="53" t="s">
        <v>71</v>
      </c>
      <c r="C44" s="53" t="s">
        <v>267</v>
      </c>
      <c r="D44" s="121">
        <v>0.88</v>
      </c>
      <c r="E44" s="121">
        <v>0.88</v>
      </c>
      <c r="F44" s="121">
        <v>0.88</v>
      </c>
      <c r="G44" s="121">
        <v>0.88</v>
      </c>
      <c r="H44" s="121">
        <v>0.88</v>
      </c>
    </row>
    <row r="45" spans="1:8" x14ac:dyDescent="0.25">
      <c r="C45" s="53" t="s">
        <v>268</v>
      </c>
      <c r="D45" s="121">
        <v>0.8</v>
      </c>
      <c r="E45" s="121">
        <v>0.8</v>
      </c>
      <c r="F45" s="121">
        <v>0.8</v>
      </c>
      <c r="G45" s="121">
        <v>0.8</v>
      </c>
      <c r="H45" s="121">
        <v>0.8</v>
      </c>
    </row>
    <row r="46" spans="1:8" x14ac:dyDescent="0.25">
      <c r="A46" s="53" t="s">
        <v>85</v>
      </c>
      <c r="B46" s="53" t="s">
        <v>71</v>
      </c>
      <c r="C46" s="53" t="s">
        <v>267</v>
      </c>
      <c r="D46" s="121">
        <v>1</v>
      </c>
      <c r="E46" s="121">
        <v>1</v>
      </c>
      <c r="F46" s="121">
        <v>1</v>
      </c>
      <c r="G46" s="121">
        <v>1</v>
      </c>
      <c r="H46" s="121">
        <v>1</v>
      </c>
    </row>
    <row r="47" spans="1:8" x14ac:dyDescent="0.25">
      <c r="C47" s="53" t="s">
        <v>268</v>
      </c>
      <c r="D47" s="121">
        <v>0.76</v>
      </c>
      <c r="E47" s="121">
        <v>0.76</v>
      </c>
      <c r="F47" s="121">
        <v>0.76</v>
      </c>
      <c r="G47" s="121">
        <v>0.76</v>
      </c>
      <c r="H47" s="121">
        <v>0.76</v>
      </c>
    </row>
    <row r="48" spans="1:8" x14ac:dyDescent="0.25">
      <c r="A48" s="53" t="s">
        <v>196</v>
      </c>
      <c r="B48" s="53" t="s">
        <v>13</v>
      </c>
      <c r="C48" s="53" t="s">
        <v>267</v>
      </c>
      <c r="D48" s="121">
        <v>0.57999999999999996</v>
      </c>
      <c r="E48" s="121">
        <v>0</v>
      </c>
      <c r="F48" s="121">
        <v>0</v>
      </c>
      <c r="G48" s="121">
        <v>0</v>
      </c>
      <c r="H48" s="121">
        <v>0</v>
      </c>
    </row>
    <row r="49" spans="3:8" x14ac:dyDescent="0.25">
      <c r="C49" s="53" t="s">
        <v>268</v>
      </c>
      <c r="D49" s="121">
        <v>0.88</v>
      </c>
      <c r="E49" s="121">
        <v>0</v>
      </c>
      <c r="F49" s="121">
        <v>0</v>
      </c>
      <c r="G49" s="121">
        <v>0</v>
      </c>
      <c r="H49" s="121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7.2296139999999997E-3</v>
      </c>
    </row>
    <row r="4" spans="1:8" ht="15.75" customHeight="1" x14ac:dyDescent="0.25">
      <c r="B4" s="24" t="s">
        <v>7</v>
      </c>
      <c r="C4" s="76">
        <v>0.26127122831673022</v>
      </c>
    </row>
    <row r="5" spans="1:8" ht="15.75" customHeight="1" x14ac:dyDescent="0.25">
      <c r="B5" s="24" t="s">
        <v>8</v>
      </c>
      <c r="C5" s="76">
        <v>4.0568791329211651E-2</v>
      </c>
    </row>
    <row r="6" spans="1:8" ht="15.75" customHeight="1" x14ac:dyDescent="0.25">
      <c r="B6" s="24" t="s">
        <v>10</v>
      </c>
      <c r="C6" s="76">
        <v>6.708827217980283E-2</v>
      </c>
    </row>
    <row r="7" spans="1:8" ht="15.75" customHeight="1" x14ac:dyDescent="0.25">
      <c r="B7" s="24" t="s">
        <v>13</v>
      </c>
      <c r="C7" s="76">
        <v>0.29604323149466177</v>
      </c>
    </row>
    <row r="8" spans="1:8" ht="15.75" customHeight="1" x14ac:dyDescent="0.25">
      <c r="B8" s="24" t="s">
        <v>14</v>
      </c>
      <c r="C8" s="76">
        <v>1.0025585715690204E-3</v>
      </c>
    </row>
    <row r="9" spans="1:8" ht="15.75" customHeight="1" x14ac:dyDescent="0.25">
      <c r="B9" s="24" t="s">
        <v>27</v>
      </c>
      <c r="C9" s="76">
        <v>0.19285885124315275</v>
      </c>
    </row>
    <row r="10" spans="1:8" ht="15.75" customHeight="1" x14ac:dyDescent="0.25">
      <c r="B10" s="24" t="s">
        <v>15</v>
      </c>
      <c r="C10" s="76">
        <v>0.1339374528648718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4.9217875606957798E-2</v>
      </c>
      <c r="D14" s="76">
        <v>4.9217875606957798E-2</v>
      </c>
      <c r="E14" s="76">
        <v>1.4096218896586001E-2</v>
      </c>
      <c r="F14" s="76">
        <v>1.4096218896586001E-2</v>
      </c>
    </row>
    <row r="15" spans="1:8" ht="15.75" customHeight="1" x14ac:dyDescent="0.25">
      <c r="B15" s="24" t="s">
        <v>16</v>
      </c>
      <c r="C15" s="76">
        <v>0.152053246713655</v>
      </c>
      <c r="D15" s="76">
        <v>0.152053246713655</v>
      </c>
      <c r="E15" s="76">
        <v>6.2476947084797098E-2</v>
      </c>
      <c r="F15" s="76">
        <v>6.2476947084797098E-2</v>
      </c>
    </row>
    <row r="16" spans="1:8" ht="15.75" customHeight="1" x14ac:dyDescent="0.25">
      <c r="B16" s="24" t="s">
        <v>17</v>
      </c>
      <c r="C16" s="76">
        <v>4.1731460513417702E-2</v>
      </c>
      <c r="D16" s="76">
        <v>4.1731460513417702E-2</v>
      </c>
      <c r="E16" s="76">
        <v>2.29179965877318E-2</v>
      </c>
      <c r="F16" s="76">
        <v>2.29179965877318E-2</v>
      </c>
    </row>
    <row r="17" spans="1:8" ht="15.75" customHeight="1" x14ac:dyDescent="0.25">
      <c r="B17" s="24" t="s">
        <v>18</v>
      </c>
      <c r="C17" s="76">
        <v>4.8050547897539701E-3</v>
      </c>
      <c r="D17" s="76">
        <v>4.8050547897539701E-3</v>
      </c>
      <c r="E17" s="76">
        <v>1.3795268730521998E-2</v>
      </c>
      <c r="F17" s="76">
        <v>1.3795268730521998E-2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2.2245632388376301E-2</v>
      </c>
      <c r="D19" s="76">
        <v>2.2245632388376301E-2</v>
      </c>
      <c r="E19" s="76">
        <v>2.63668187425323E-2</v>
      </c>
      <c r="F19" s="76">
        <v>2.63668187425323E-2</v>
      </c>
    </row>
    <row r="20" spans="1:8" ht="15.75" customHeight="1" x14ac:dyDescent="0.25">
      <c r="B20" s="24" t="s">
        <v>21</v>
      </c>
      <c r="C20" s="76">
        <v>9.8894583595849099E-4</v>
      </c>
      <c r="D20" s="76">
        <v>9.8894583595849099E-4</v>
      </c>
      <c r="E20" s="76">
        <v>4.9711515652748096E-3</v>
      </c>
      <c r="F20" s="76">
        <v>4.9711515652748096E-3</v>
      </c>
    </row>
    <row r="21" spans="1:8" ht="15.75" customHeight="1" x14ac:dyDescent="0.25">
      <c r="B21" s="24" t="s">
        <v>22</v>
      </c>
      <c r="C21" s="76">
        <v>0.123142502327191</v>
      </c>
      <c r="D21" s="76">
        <v>0.123142502327191</v>
      </c>
      <c r="E21" s="76">
        <v>0.58985470788930505</v>
      </c>
      <c r="F21" s="76">
        <v>0.58985470788930505</v>
      </c>
    </row>
    <row r="22" spans="1:8" ht="15.75" customHeight="1" x14ac:dyDescent="0.25">
      <c r="B22" s="24" t="s">
        <v>23</v>
      </c>
      <c r="C22" s="76">
        <v>0.6058152818246898</v>
      </c>
      <c r="D22" s="76">
        <v>0.6058152818246898</v>
      </c>
      <c r="E22" s="76">
        <v>0.26552089050325089</v>
      </c>
      <c r="F22" s="76">
        <v>0.26552089050325089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7.1500000000000008E-2</v>
      </c>
    </row>
    <row r="27" spans="1:8" ht="15.75" customHeight="1" x14ac:dyDescent="0.25">
      <c r="B27" s="24" t="s">
        <v>39</v>
      </c>
      <c r="C27" s="76">
        <v>2.46E-2</v>
      </c>
    </row>
    <row r="28" spans="1:8" ht="15.75" customHeight="1" x14ac:dyDescent="0.25">
      <c r="B28" s="24" t="s">
        <v>40</v>
      </c>
      <c r="C28" s="76">
        <v>0.30049999999999999</v>
      </c>
    </row>
    <row r="29" spans="1:8" ht="15.75" customHeight="1" x14ac:dyDescent="0.25">
      <c r="B29" s="24" t="s">
        <v>41</v>
      </c>
      <c r="C29" s="76">
        <v>0.10580000000000001</v>
      </c>
    </row>
    <row r="30" spans="1:8" ht="15.75" customHeight="1" x14ac:dyDescent="0.25">
      <c r="B30" s="24" t="s">
        <v>42</v>
      </c>
      <c r="C30" s="76">
        <v>3.6299999999999999E-2</v>
      </c>
    </row>
    <row r="31" spans="1:8" ht="15.75" customHeight="1" x14ac:dyDescent="0.25">
      <c r="B31" s="24" t="s">
        <v>43</v>
      </c>
      <c r="C31" s="76">
        <v>4.1599999999999998E-2</v>
      </c>
    </row>
    <row r="32" spans="1:8" ht="15.75" customHeight="1" x14ac:dyDescent="0.25">
      <c r="B32" s="24" t="s">
        <v>44</v>
      </c>
      <c r="C32" s="76">
        <v>9.9900000000000003E-2</v>
      </c>
    </row>
    <row r="33" spans="2:3" ht="15.75" customHeight="1" x14ac:dyDescent="0.25">
      <c r="B33" s="24" t="s">
        <v>45</v>
      </c>
      <c r="C33" s="76">
        <v>9.6600000000000005E-2</v>
      </c>
    </row>
    <row r="34" spans="2:3" ht="15.75" customHeight="1" x14ac:dyDescent="0.25">
      <c r="B34" s="24" t="s">
        <v>46</v>
      </c>
      <c r="C34" s="76">
        <v>0.22320000000000001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0.60288438621997475</v>
      </c>
      <c r="D2" s="77">
        <v>0.60288438621997475</v>
      </c>
      <c r="E2" s="77">
        <v>0.63269556314606745</v>
      </c>
      <c r="F2" s="77">
        <v>0.49595518811320766</v>
      </c>
      <c r="G2" s="77">
        <v>0.51472642469696961</v>
      </c>
    </row>
    <row r="3" spans="1:15" ht="15.75" customHeight="1" x14ac:dyDescent="0.25">
      <c r="A3" s="5"/>
      <c r="B3" s="11" t="s">
        <v>118</v>
      </c>
      <c r="C3" s="77">
        <v>0.1840488637800253</v>
      </c>
      <c r="D3" s="77">
        <v>0.1840488637800253</v>
      </c>
      <c r="E3" s="77">
        <v>0.16414271685393259</v>
      </c>
      <c r="F3" s="77">
        <v>0.24448495188679248</v>
      </c>
      <c r="G3" s="77">
        <v>0.27531878530303028</v>
      </c>
    </row>
    <row r="4" spans="1:15" ht="15.75" customHeight="1" x14ac:dyDescent="0.25">
      <c r="A4" s="5"/>
      <c r="B4" s="11" t="s">
        <v>116</v>
      </c>
      <c r="C4" s="78">
        <v>0.12539335047846889</v>
      </c>
      <c r="D4" s="78">
        <v>0.12539335047846889</v>
      </c>
      <c r="E4" s="78">
        <v>0.10107040341708542</v>
      </c>
      <c r="F4" s="78">
        <v>0.14386457356589147</v>
      </c>
      <c r="G4" s="78">
        <v>0.13122174375000001</v>
      </c>
    </row>
    <row r="5" spans="1:15" ht="15.75" customHeight="1" x14ac:dyDescent="0.25">
      <c r="A5" s="5"/>
      <c r="B5" s="11" t="s">
        <v>119</v>
      </c>
      <c r="C5" s="78">
        <v>8.7673399521531081E-2</v>
      </c>
      <c r="D5" s="78">
        <v>8.7673399521531081E-2</v>
      </c>
      <c r="E5" s="78">
        <v>0.10209131658291458</v>
      </c>
      <c r="F5" s="78">
        <v>0.11569528643410852</v>
      </c>
      <c r="G5" s="78">
        <v>7.8733046250000008E-2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0.7231405911059372</v>
      </c>
      <c r="D8" s="77">
        <v>0.7231405911059372</v>
      </c>
      <c r="E8" s="77">
        <v>0.78618183950110621</v>
      </c>
      <c r="F8" s="77">
        <v>0.85719924072784814</v>
      </c>
      <c r="G8" s="77">
        <v>0.8611411001850684</v>
      </c>
    </row>
    <row r="9" spans="1:15" ht="15.75" customHeight="1" x14ac:dyDescent="0.25">
      <c r="B9" s="7" t="s">
        <v>121</v>
      </c>
      <c r="C9" s="77">
        <v>0.13247616889406288</v>
      </c>
      <c r="D9" s="77">
        <v>0.13247616889406288</v>
      </c>
      <c r="E9" s="77">
        <v>0.1168783674988938</v>
      </c>
      <c r="F9" s="77">
        <v>8.9916004272151906E-2</v>
      </c>
      <c r="G9" s="77">
        <v>9.0014749148264989E-2</v>
      </c>
    </row>
    <row r="10" spans="1:15" ht="15.75" customHeight="1" x14ac:dyDescent="0.25">
      <c r="B10" s="7" t="s">
        <v>122</v>
      </c>
      <c r="C10" s="78">
        <v>7.1487498999999996E-2</v>
      </c>
      <c r="D10" s="78">
        <v>7.1487498999999996E-2</v>
      </c>
      <c r="E10" s="78">
        <v>6.2331808000000002E-2</v>
      </c>
      <c r="F10" s="78">
        <v>3.288534299999999E-2</v>
      </c>
      <c r="G10" s="78">
        <v>2.9608810666666666E-2</v>
      </c>
    </row>
    <row r="11" spans="1:15" ht="15.75" customHeight="1" x14ac:dyDescent="0.25">
      <c r="B11" s="7" t="s">
        <v>123</v>
      </c>
      <c r="C11" s="78">
        <v>7.2895741E-2</v>
      </c>
      <c r="D11" s="78">
        <v>7.2895741E-2</v>
      </c>
      <c r="E11" s="78">
        <v>3.4607985000000001E-2</v>
      </c>
      <c r="F11" s="78">
        <v>1.9999412000000001E-2</v>
      </c>
      <c r="G11" s="78">
        <v>1.923534E-2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0.54937793849999994</v>
      </c>
      <c r="D14" s="79">
        <v>0.54968166127100004</v>
      </c>
      <c r="E14" s="79">
        <v>0.54968166127100004</v>
      </c>
      <c r="F14" s="79">
        <v>0.41497549182100002</v>
      </c>
      <c r="G14" s="79">
        <v>0.41497549182100002</v>
      </c>
      <c r="H14" s="80">
        <v>0.33500000000000002</v>
      </c>
      <c r="I14" s="80">
        <v>0.33500000000000002</v>
      </c>
      <c r="J14" s="80">
        <v>0.33500000000000002</v>
      </c>
      <c r="K14" s="80">
        <v>0.33500000000000002</v>
      </c>
      <c r="L14" s="80">
        <v>0.153939867891</v>
      </c>
      <c r="M14" s="80">
        <v>0.17977713967600001</v>
      </c>
      <c r="N14" s="80">
        <v>0.18490348924299999</v>
      </c>
      <c r="O14" s="80">
        <v>0.25343527465299998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0.27622115128223645</v>
      </c>
      <c r="D15" s="77">
        <f t="shared" si="0"/>
        <v>0.27637385973227968</v>
      </c>
      <c r="E15" s="77">
        <f t="shared" si="0"/>
        <v>0.27637385973227968</v>
      </c>
      <c r="F15" s="77">
        <f t="shared" si="0"/>
        <v>0.20864508760158182</v>
      </c>
      <c r="G15" s="77">
        <f t="shared" si="0"/>
        <v>0.20864508760158182</v>
      </c>
      <c r="H15" s="77">
        <f t="shared" si="0"/>
        <v>0.16843429485392272</v>
      </c>
      <c r="I15" s="77">
        <f t="shared" si="0"/>
        <v>0.16843429485392272</v>
      </c>
      <c r="J15" s="77">
        <f t="shared" si="0"/>
        <v>0.16843429485392272</v>
      </c>
      <c r="K15" s="77">
        <f t="shared" si="0"/>
        <v>0.16843429485392272</v>
      </c>
      <c r="L15" s="77">
        <f t="shared" si="0"/>
        <v>7.7399262979482408E-2</v>
      </c>
      <c r="M15" s="77">
        <f t="shared" si="0"/>
        <v>9.0389957469200699E-2</v>
      </c>
      <c r="N15" s="77">
        <f t="shared" si="0"/>
        <v>9.2967429333356971E-2</v>
      </c>
      <c r="O15" s="77">
        <f t="shared" si="0"/>
        <v>0.12742445306653219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0.35899999999999999</v>
      </c>
      <c r="D2" s="78">
        <v>0.16300000000000001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0.27899999999999997</v>
      </c>
      <c r="D3" s="78">
        <v>0.26100000000000001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0.26500000000000001</v>
      </c>
      <c r="D4" s="78">
        <v>0.38600000000000001</v>
      </c>
      <c r="E4" s="78">
        <v>0.65900000000000003</v>
      </c>
      <c r="F4" s="78">
        <v>0.375</v>
      </c>
      <c r="G4" s="78">
        <v>0</v>
      </c>
    </row>
    <row r="5" spans="1:7" x14ac:dyDescent="0.25">
      <c r="B5" s="43" t="s">
        <v>169</v>
      </c>
      <c r="C5" s="77">
        <f>1-SUM(C2:C4)</f>
        <v>9.7000000000000086E-2</v>
      </c>
      <c r="D5" s="77">
        <f t="shared" ref="D5:G5" si="0">1-SUM(D2:D4)</f>
        <v>0.18999999999999995</v>
      </c>
      <c r="E5" s="77">
        <f t="shared" si="0"/>
        <v>0.34099999999999997</v>
      </c>
      <c r="F5" s="77">
        <f t="shared" si="0"/>
        <v>0.625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zoomScale="115" zoomScaleNormal="115" workbookViewId="0">
      <selection activeCell="C6" sqref="C6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3" x14ac:dyDescent="0.25">
      <c r="A2" t="s">
        <v>139</v>
      </c>
      <c r="B2" s="14" t="s">
        <v>143</v>
      </c>
      <c r="C2" s="28">
        <v>0.19911000000000001</v>
      </c>
      <c r="D2" s="28">
        <v>0.19403999999999999</v>
      </c>
      <c r="E2" s="28">
        <v>0.19011</v>
      </c>
      <c r="F2" s="28">
        <v>0.18626000000000001</v>
      </c>
      <c r="G2" s="28">
        <v>0.18248</v>
      </c>
      <c r="H2" s="28">
        <v>0.17876999999999998</v>
      </c>
      <c r="I2" s="28">
        <v>0.17512</v>
      </c>
      <c r="J2" s="28">
        <v>0.17152000000000001</v>
      </c>
      <c r="K2" s="28">
        <v>0.16800000000000001</v>
      </c>
      <c r="L2">
        <v>0.16454999999999997</v>
      </c>
      <c r="M2">
        <v>0.16120000000000001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6.1100000000000002E-2</v>
      </c>
      <c r="D4" s="28">
        <v>6.0590000000000005E-2</v>
      </c>
      <c r="E4" s="28">
        <v>5.9740000000000001E-2</v>
      </c>
      <c r="F4" s="28">
        <v>5.8899999999999994E-2</v>
      </c>
      <c r="G4" s="28">
        <v>5.8090000000000003E-2</v>
      </c>
      <c r="H4" s="28">
        <v>5.7300000000000004E-2</v>
      </c>
      <c r="I4" s="28">
        <v>5.654E-2</v>
      </c>
      <c r="J4" s="28">
        <v>5.5800000000000002E-2</v>
      </c>
      <c r="K4" s="28">
        <v>5.5069999999999994E-2</v>
      </c>
      <c r="L4">
        <v>5.4359999999999999E-2</v>
      </c>
      <c r="M4">
        <v>5.3659999999999999E-2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>
        <f>'Nutritional status distribution'!E14</f>
        <v>0.54968166127100004</v>
      </c>
      <c r="D6" s="28"/>
      <c r="E6" s="28"/>
      <c r="F6" s="28"/>
      <c r="G6" s="28"/>
      <c r="H6" s="28"/>
      <c r="I6" s="28"/>
      <c r="J6" s="28"/>
      <c r="K6" s="28"/>
    </row>
    <row r="7" spans="1:13" x14ac:dyDescent="0.25">
      <c r="B7" s="14" t="s">
        <v>32</v>
      </c>
      <c r="C7" s="28">
        <f>'Nutritional status distribution'!H14</f>
        <v>0.33500000000000002</v>
      </c>
      <c r="D7" s="28"/>
      <c r="E7" s="28"/>
      <c r="F7" s="28"/>
      <c r="G7" s="28"/>
      <c r="H7" s="28"/>
      <c r="I7" s="28"/>
      <c r="J7" s="28"/>
      <c r="K7" s="28"/>
    </row>
    <row r="8" spans="1:13" x14ac:dyDescent="0.25">
      <c r="B8" s="14" t="s">
        <v>144</v>
      </c>
      <c r="C8" s="28">
        <f>'Nutritional status distribution'!L14</f>
        <v>0.153939867891</v>
      </c>
      <c r="D8" s="28"/>
      <c r="E8" s="28"/>
      <c r="F8" s="28"/>
      <c r="G8" s="28"/>
      <c r="H8" s="28"/>
      <c r="I8" s="28"/>
      <c r="J8" s="28"/>
      <c r="K8" s="28"/>
    </row>
    <row r="10" spans="1:13" x14ac:dyDescent="0.25">
      <c r="A10" t="s">
        <v>142</v>
      </c>
      <c r="B10" s="16" t="s">
        <v>147</v>
      </c>
      <c r="C10" s="28">
        <f>SUM('Breastfeeding distribution'!D2)</f>
        <v>0.16300000000000001</v>
      </c>
      <c r="D10" s="28"/>
      <c r="E10" s="28"/>
      <c r="F10" s="28"/>
      <c r="G10" s="28"/>
      <c r="H10" s="28"/>
      <c r="I10" s="28"/>
      <c r="J10" s="28"/>
      <c r="K10" s="28"/>
    </row>
    <row r="11" spans="1:13" x14ac:dyDescent="0.25">
      <c r="B11" s="34" t="s">
        <v>146</v>
      </c>
      <c r="C11" s="28">
        <f>'Breastfeeding distribution'!F4</f>
        <v>0.375</v>
      </c>
      <c r="D11" s="28"/>
      <c r="E11" s="28"/>
      <c r="F11" s="28"/>
      <c r="G11" s="28"/>
      <c r="H11" s="28"/>
      <c r="I11" s="28"/>
      <c r="J11" s="28"/>
      <c r="K11" s="28"/>
    </row>
    <row r="13" spans="1:13" x14ac:dyDescent="0.25">
      <c r="A13" s="12" t="s">
        <v>74</v>
      </c>
      <c r="B13" s="34" t="s">
        <v>148</v>
      </c>
      <c r="C13" s="145">
        <v>23.486000000000001</v>
      </c>
      <c r="D13" s="28">
        <v>22.684000000000001</v>
      </c>
      <c r="E13" s="28">
        <v>22.186</v>
      </c>
      <c r="F13" s="28">
        <v>21.495000000000001</v>
      </c>
      <c r="G13" s="28">
        <v>21.074999999999999</v>
      </c>
      <c r="H13" s="28">
        <v>20.535</v>
      </c>
      <c r="I13" s="28">
        <v>19.916</v>
      </c>
      <c r="J13" s="28">
        <v>20.707000000000001</v>
      </c>
      <c r="K13" s="28">
        <v>18.702999999999999</v>
      </c>
      <c r="L13">
        <v>18.972000000000001</v>
      </c>
      <c r="M13">
        <v>18.706</v>
      </c>
    </row>
    <row r="14" spans="1:13" x14ac:dyDescent="0.25">
      <c r="B14" s="16" t="s">
        <v>170</v>
      </c>
      <c r="C14" s="145">
        <f>maternal_mortality</f>
        <v>0.5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4" zoomScale="106" workbookViewId="0">
      <selection activeCell="D37" sqref="D37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60.999124309244628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39.946692681048077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460.96006935232157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1.0478472456164205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1.5461583955299691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1.5461583955299691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1.5461583955299691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1.5461583955299691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13.078992124843985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13.078992124843985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0.78575792473933481</v>
      </c>
      <c r="E17" s="86" t="s">
        <v>201</v>
      </c>
    </row>
    <row r="18" spans="1:5" ht="15.75" customHeight="1" x14ac:dyDescent="0.25">
      <c r="A18" s="53" t="s">
        <v>175</v>
      </c>
      <c r="B18" s="85">
        <v>0.318</v>
      </c>
      <c r="C18" s="85">
        <v>0.95</v>
      </c>
      <c r="D18" s="86">
        <v>10.612768372685165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14.651964526226051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22.605195111359723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4.3210955878812296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18.641046941214839</v>
      </c>
      <c r="E24" s="86" t="s">
        <v>201</v>
      </c>
    </row>
    <row r="25" spans="1:5" ht="15.75" customHeight="1" x14ac:dyDescent="0.25">
      <c r="A25" s="53" t="s">
        <v>87</v>
      </c>
      <c r="B25" s="85">
        <v>0.307</v>
      </c>
      <c r="C25" s="85">
        <v>0.95</v>
      </c>
      <c r="D25" s="86">
        <v>18.640757485815275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5.3693117356816336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7.7637149245528674</v>
      </c>
      <c r="E27" s="86" t="s">
        <v>201</v>
      </c>
    </row>
    <row r="28" spans="1:5" ht="15.75" customHeight="1" x14ac:dyDescent="0.25">
      <c r="A28" s="53" t="s">
        <v>84</v>
      </c>
      <c r="B28" s="85">
        <v>0.22800000000000001</v>
      </c>
      <c r="C28" s="85">
        <v>0.95</v>
      </c>
      <c r="D28" s="86">
        <v>0.91882380791204821</v>
      </c>
      <c r="E28" s="86" t="s">
        <v>201</v>
      </c>
    </row>
    <row r="29" spans="1:5" ht="15.75" customHeight="1" x14ac:dyDescent="0.25">
      <c r="A29" s="53" t="s">
        <v>58</v>
      </c>
      <c r="B29" s="85">
        <v>0.318</v>
      </c>
      <c r="C29" s="85">
        <v>0.95</v>
      </c>
      <c r="D29" s="86">
        <v>120.42595390331329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223.3302856453048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223.3302856453048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1.6940132746746572</v>
      </c>
      <c r="E32" s="86" t="s">
        <v>201</v>
      </c>
    </row>
    <row r="33" spans="1:6" ht="15.75" customHeight="1" x14ac:dyDescent="0.25">
      <c r="A33" s="53" t="s">
        <v>83</v>
      </c>
      <c r="B33" s="85">
        <v>0.92799999999999994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0.193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0.85599999999999998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0.86599999999999999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0.752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1.9E-2</v>
      </c>
      <c r="C38" s="85">
        <v>0.95</v>
      </c>
      <c r="D38" s="86">
        <v>2.0425323320473594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1.7151354807890968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2020-07-03T01:35:30Z</dcterms:modified>
</cp:coreProperties>
</file>