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61123D69-2FA4-45C8-8794-B07F89929219}" xr6:coauthVersionLast="45" xr6:coauthVersionMax="45" xr10:uidLastSave="{00000000-0000-0000-0000-000000000000}"/>
  <bookViews>
    <workbookView xWindow="-108" yWindow="-108" windowWidth="23256" windowHeight="12576" tabRatio="961" firstSheet="4" activeTab="12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target population" sheetId="21" r:id="rId13"/>
    <sheet name="Programs impacted population" sheetId="62" r:id="rId14"/>
    <sheet name="Program risk areas" sheetId="63" state="hidden" r:id="rId15"/>
    <sheet name="Population risk areas" sheetId="64" state="hidden" r:id="rId16"/>
    <sheet name="IYCF odds ratios" sheetId="65" state="hidden" r:id="rId17"/>
    <sheet name="Birth outcome risks" sheetId="66" state="hidden" r:id="rId18"/>
    <sheet name="Relative risks" sheetId="67" state="hidden" r:id="rId19"/>
    <sheet name="Odds ratios" sheetId="68" state="hidden" r:id="rId20"/>
    <sheet name="Programs birth outcomes" sheetId="69" state="hidden" r:id="rId21"/>
    <sheet name="Programs anemia" sheetId="70" state="hidden" r:id="rId22"/>
    <sheet name="Programs wasting" sheetId="71" state="hidden" r:id="rId23"/>
    <sheet name="Programs for children" sheetId="72" state="hidden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G7" i="21" l="1"/>
  <c r="F7" i="21"/>
  <c r="E7" i="21"/>
  <c r="D7" i="21"/>
  <c r="C7" i="2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<sst xmlns="http://schemas.openxmlformats.org/spreadsheetml/2006/main" count="1106" uniqueCount="272">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</sst>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3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4124045</v>
      </c>
    </row>
    <row r="8" spans="1:3" ht="15" customHeight="1" x14ac:dyDescent="0.25">
      <c r="B8" s="7" t="s">
        <v>106</v>
      </c>
      <c r="C8" s="66">
        <v>0.13300000000000001</v>
      </c>
    </row>
    <row r="9" spans="1:3" ht="15" customHeight="1" x14ac:dyDescent="0.25">
      <c r="B9" s="9" t="s">
        <v>107</v>
      </c>
      <c r="C9" s="67">
        <v>0.98</v>
      </c>
    </row>
    <row r="10" spans="1:3" ht="15" customHeight="1" x14ac:dyDescent="0.25">
      <c r="B10" s="9" t="s">
        <v>105</v>
      </c>
      <c r="C10" s="67">
        <v>0.56591400146484405</v>
      </c>
    </row>
    <row r="11" spans="1:3" ht="15" customHeight="1" x14ac:dyDescent="0.25">
      <c r="B11" s="7" t="s">
        <v>108</v>
      </c>
      <c r="C11" s="66">
        <v>0.873</v>
      </c>
    </row>
    <row r="12" spans="1:3" ht="15" customHeight="1" x14ac:dyDescent="0.25">
      <c r="B12" s="7" t="s">
        <v>109</v>
      </c>
      <c r="C12" s="66">
        <v>0.55899999999999994</v>
      </c>
    </row>
    <row r="13" spans="1:3" ht="15" customHeight="1" x14ac:dyDescent="0.25">
      <c r="B13" s="7" t="s">
        <v>110</v>
      </c>
      <c r="C13" s="66">
        <v>0.53799999999999992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8.5699999999999998E-2</v>
      </c>
    </row>
    <row r="24" spans="1:3" ht="15" customHeight="1" x14ac:dyDescent="0.25">
      <c r="B24" s="20" t="s">
        <v>102</v>
      </c>
      <c r="C24" s="67">
        <v>0.43590000000000001</v>
      </c>
    </row>
    <row r="25" spans="1:3" ht="15" customHeight="1" x14ac:dyDescent="0.25">
      <c r="B25" s="20" t="s">
        <v>103</v>
      </c>
      <c r="C25" s="67">
        <v>0.3957</v>
      </c>
    </row>
    <row r="26" spans="1:3" ht="15" customHeight="1" x14ac:dyDescent="0.25">
      <c r="B26" s="20" t="s">
        <v>104</v>
      </c>
      <c r="C26" s="67">
        <v>8.2699999999999996E-2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0.23800000000000002</v>
      </c>
    </row>
    <row r="30" spans="1:3" ht="14.25" customHeight="1" x14ac:dyDescent="0.25">
      <c r="B30" s="30" t="s">
        <v>76</v>
      </c>
      <c r="C30" s="69">
        <v>2.8999999999999998E-2</v>
      </c>
    </row>
    <row r="31" spans="1:3" ht="14.25" customHeight="1" x14ac:dyDescent="0.25">
      <c r="B31" s="30" t="s">
        <v>77</v>
      </c>
      <c r="C31" s="69">
        <v>9.4E-2</v>
      </c>
    </row>
    <row r="32" spans="1:3" ht="14.25" customHeight="1" x14ac:dyDescent="0.25">
      <c r="B32" s="30" t="s">
        <v>78</v>
      </c>
      <c r="C32" s="69">
        <v>0.63900000000000001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24.2</v>
      </c>
    </row>
    <row r="38" spans="1:5" ht="15" customHeight="1" x14ac:dyDescent="0.25">
      <c r="B38" s="16" t="s">
        <v>91</v>
      </c>
      <c r="C38" s="68">
        <v>35.700000000000003</v>
      </c>
      <c r="D38" s="17"/>
      <c r="E38" s="18"/>
    </row>
    <row r="39" spans="1:5" ht="15" customHeight="1" x14ac:dyDescent="0.25">
      <c r="B39" s="16" t="s">
        <v>90</v>
      </c>
      <c r="C39" s="68">
        <v>49.3</v>
      </c>
      <c r="D39" s="17"/>
      <c r="E39" s="17"/>
    </row>
    <row r="40" spans="1:5" ht="15" customHeight="1" x14ac:dyDescent="0.25">
      <c r="B40" s="16" t="s">
        <v>171</v>
      </c>
      <c r="C40" s="68">
        <v>3.19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22.7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2.3300000000000001E-2</v>
      </c>
      <c r="D45" s="17"/>
    </row>
    <row r="46" spans="1:5" ht="15.75" customHeight="1" x14ac:dyDescent="0.25">
      <c r="B46" s="16" t="s">
        <v>11</v>
      </c>
      <c r="C46" s="67">
        <v>0.1216</v>
      </c>
      <c r="D46" s="17"/>
    </row>
    <row r="47" spans="1:5" ht="15.75" customHeight="1" x14ac:dyDescent="0.25">
      <c r="B47" s="16" t="s">
        <v>12</v>
      </c>
      <c r="C47" s="67">
        <v>0.21909999999999999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0.63600000000000001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2.9167824469400001</v>
      </c>
      <c r="D51" s="17"/>
    </row>
    <row r="52" spans="1:4" ht="15" customHeight="1" x14ac:dyDescent="0.25">
      <c r="B52" s="16" t="s">
        <v>125</v>
      </c>
      <c r="C52" s="65">
        <v>2.6646979002700002</v>
      </c>
    </row>
    <row r="53" spans="1:4" ht="15.75" customHeight="1" x14ac:dyDescent="0.25">
      <c r="B53" s="16" t="s">
        <v>126</v>
      </c>
      <c r="C53" s="65">
        <v>2.6646979002700002</v>
      </c>
    </row>
    <row r="54" spans="1:4" ht="15.75" customHeight="1" x14ac:dyDescent="0.25">
      <c r="B54" s="16" t="s">
        <v>127</v>
      </c>
      <c r="C54" s="65">
        <v>2.0686461944199999</v>
      </c>
    </row>
    <row r="55" spans="1:4" ht="15.75" customHeight="1" x14ac:dyDescent="0.25">
      <c r="B55" s="16" t="s">
        <v>128</v>
      </c>
      <c r="C55" s="65">
        <v>2.0686461944199999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0.36958770729498003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2.9167824469400001</v>
      </c>
      <c r="C2" s="26">
        <f>'Baseline year population inputs'!C52</f>
        <v>2.6646979002700002</v>
      </c>
      <c r="D2" s="26">
        <f>'Baseline year population inputs'!C53</f>
        <v>2.6646979002700002</v>
      </c>
      <c r="E2" s="26">
        <f>'Baseline year population inputs'!C54</f>
        <v>2.0686461944199999</v>
      </c>
      <c r="F2" s="26">
        <f>'Baseline year population inputs'!C55</f>
        <v>2.0686461944199999</v>
      </c>
    </row>
    <row r="3" spans="1:6" ht="15.75" customHeight="1" x14ac:dyDescent="0.25">
      <c r="A3" s="3" t="s">
        <v>65</v>
      </c>
      <c r="B3" s="26">
        <f>frac_mam_1month * 2.6</f>
        <v>0.1388173956</v>
      </c>
      <c r="C3" s="26">
        <f>frac_mam_1_5months * 2.6</f>
        <v>0.1388173956</v>
      </c>
      <c r="D3" s="26">
        <f>frac_mam_6_11months * 2.6</f>
        <v>0.21459344139999997</v>
      </c>
      <c r="E3" s="26">
        <f>frac_mam_12_23months * 2.6</f>
        <v>0.14594065720000002</v>
      </c>
      <c r="F3" s="26">
        <f>frac_mam_24_59months * 2.6</f>
        <v>6.4065368813333329E-2</v>
      </c>
    </row>
    <row r="4" spans="1:6" ht="15.75" customHeight="1" x14ac:dyDescent="0.25">
      <c r="A4" s="3" t="s">
        <v>66</v>
      </c>
      <c r="B4" s="26">
        <f>frac_sam_1month * 2.6</f>
        <v>4.1470720199999998E-2</v>
      </c>
      <c r="C4" s="26">
        <f>frac_sam_1_5months * 2.6</f>
        <v>4.1470720199999998E-2</v>
      </c>
      <c r="D4" s="26">
        <f>frac_sam_6_11months * 2.6</f>
        <v>4.9821644599999999E-2</v>
      </c>
      <c r="E4" s="26">
        <f>frac_sam_12_23months * 2.6</f>
        <v>2.7858147200000006E-2</v>
      </c>
      <c r="F4" s="26">
        <f>frac_sam_24_59months * 2.6</f>
        <v>5.8734204533333334E-3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G12" sqref="G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0.13300000000000001</v>
      </c>
      <c r="E2" s="93">
        <f>food_insecure</f>
        <v>0.13300000000000001</v>
      </c>
      <c r="F2" s="93">
        <f>food_insecure</f>
        <v>0.13300000000000001</v>
      </c>
      <c r="G2" s="93">
        <f>food_insecure</f>
        <v>0.13300000000000001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0.13300000000000001</v>
      </c>
      <c r="F5" s="93">
        <f>food_insecure</f>
        <v>0.13300000000000001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diarrhoea_1mo/26</f>
        <v>0.11218394026692308</v>
      </c>
      <c r="D7" s="93">
        <f>diarrhoea_1_5mo/26</f>
        <v>0.10248838077961539</v>
      </c>
      <c r="E7" s="93">
        <f>diarrhoea_6_11mo/26</f>
        <v>0.10248838077961539</v>
      </c>
      <c r="F7" s="93">
        <f>diarrhoea_12_23mo/26</f>
        <v>7.9563315169999996E-2</v>
      </c>
      <c r="G7" s="93">
        <f>diarrhoea_24_59mo/26</f>
        <v>7.9563315169999996E-2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0.13300000000000001</v>
      </c>
      <c r="F8" s="93">
        <f>food_insecure</f>
        <v>0.13300000000000001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2.9167824469400001</v>
      </c>
      <c r="D12" s="93">
        <f>diarrhoea_1_5mo</f>
        <v>2.6646979002700002</v>
      </c>
      <c r="E12" s="93">
        <f>diarrhoea_6_11mo</f>
        <v>2.6646979002700002</v>
      </c>
      <c r="F12" s="93">
        <f>diarrhoea_12_23mo</f>
        <v>2.0686461944199999</v>
      </c>
      <c r="G12" s="93">
        <f>diarrhoea_24_59mo</f>
        <v>2.0686461944199999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0.13300000000000001</v>
      </c>
      <c r="I15" s="93">
        <f>food_insecure</f>
        <v>0.13300000000000001</v>
      </c>
      <c r="J15" s="93">
        <f>food_insecure</f>
        <v>0.13300000000000001</v>
      </c>
      <c r="K15" s="93">
        <f>food_insecure</f>
        <v>0.13300000000000001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0.873</v>
      </c>
      <c r="I18" s="93">
        <f>frac_PW_health_facility</f>
        <v>0.873</v>
      </c>
      <c r="J18" s="93">
        <f>frac_PW_health_facility</f>
        <v>0.873</v>
      </c>
      <c r="K18" s="93">
        <f>frac_PW_health_facility</f>
        <v>0.873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0.98</v>
      </c>
      <c r="I19" s="93">
        <f>frac_malaria_risk</f>
        <v>0.98</v>
      </c>
      <c r="J19" s="93">
        <f>frac_malaria_risk</f>
        <v>0.98</v>
      </c>
      <c r="K19" s="93">
        <f>frac_malaria_risk</f>
        <v>0.98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0.53799999999999992</v>
      </c>
      <c r="M24" s="93">
        <f>famplan_unmet_need</f>
        <v>0.53799999999999992</v>
      </c>
      <c r="N24" s="93">
        <f>famplan_unmet_need</f>
        <v>0.53799999999999992</v>
      </c>
      <c r="O24" s="93">
        <f>famplan_unmet_need</f>
        <v>0.53799999999999992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0.2248261612213133</v>
      </c>
      <c r="M25" s="93">
        <f>(1-food_insecure)*(0.49)+food_insecure*(0.7)</f>
        <v>0.51793</v>
      </c>
      <c r="N25" s="93">
        <f>(1-food_insecure)*(0.49)+food_insecure*(0.7)</f>
        <v>0.51793</v>
      </c>
      <c r="O25" s="93">
        <f>(1-food_insecure)*(0.49)+food_insecure*(0.7)</f>
        <v>0.51793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9.6354069094848546E-2</v>
      </c>
      <c r="M26" s="93">
        <f>(1-food_insecure)*(0.21)+food_insecure*(0.3)</f>
        <v>0.22196999999999997</v>
      </c>
      <c r="N26" s="93">
        <f>(1-food_insecure)*(0.21)+food_insecure*(0.3)</f>
        <v>0.22196999999999997</v>
      </c>
      <c r="O26" s="93">
        <f>(1-food_insecure)*(0.21)+food_insecure*(0.3)</f>
        <v>0.22196999999999997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0.11290576821899406</v>
      </c>
      <c r="M27" s="93">
        <f>(1-food_insecure)*(0.3)</f>
        <v>0.2601</v>
      </c>
      <c r="N27" s="93">
        <f>(1-food_insecure)*(0.3)</f>
        <v>0.2601</v>
      </c>
      <c r="O27" s="93">
        <f>(1-food_insecure)*(0.3)</f>
        <v>0.2601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0.56591400146484405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0.98</v>
      </c>
      <c r="D34" s="93">
        <f t="shared" si="3"/>
        <v>0.98</v>
      </c>
      <c r="E34" s="93">
        <f t="shared" si="3"/>
        <v>0.98</v>
      </c>
      <c r="F34" s="93">
        <f t="shared" si="3"/>
        <v>0.98</v>
      </c>
      <c r="G34" s="93">
        <f t="shared" si="3"/>
        <v>0.98</v>
      </c>
      <c r="H34" s="93">
        <f t="shared" si="3"/>
        <v>0.98</v>
      </c>
      <c r="I34" s="93">
        <f t="shared" si="3"/>
        <v>0.98</v>
      </c>
      <c r="J34" s="93">
        <f t="shared" si="3"/>
        <v>0.98</v>
      </c>
      <c r="K34" s="93">
        <f t="shared" si="3"/>
        <v>0.98</v>
      </c>
      <c r="L34" s="93">
        <f t="shared" si="3"/>
        <v>0.98</v>
      </c>
      <c r="M34" s="93">
        <f t="shared" si="3"/>
        <v>0.98</v>
      </c>
      <c r="N34" s="93">
        <f t="shared" si="3"/>
        <v>0.98</v>
      </c>
      <c r="O34" s="93">
        <f t="shared" si="3"/>
        <v>0.98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891624.07400000002</v>
      </c>
      <c r="C2" s="75">
        <v>1514000</v>
      </c>
      <c r="D2" s="75">
        <v>2613000</v>
      </c>
      <c r="E2" s="75">
        <v>2112000</v>
      </c>
      <c r="F2" s="75">
        <v>1544000</v>
      </c>
      <c r="G2" s="22">
        <f t="shared" ref="G2:G40" si="0">C2+D2+E2+F2</f>
        <v>7783000</v>
      </c>
      <c r="H2" s="22">
        <f t="shared" ref="H2:H40" si="1">(B2 + stillbirth*B2/(1000-stillbirth))/(1-abortion)</f>
        <v>1048659.8357426219</v>
      </c>
      <c r="I2" s="22">
        <f>G2-H2</f>
        <v>6734340.1642573783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897509.74320000003</v>
      </c>
      <c r="C3" s="75">
        <v>1545000</v>
      </c>
      <c r="D3" s="75">
        <v>2660000</v>
      </c>
      <c r="E3" s="75">
        <v>2149000</v>
      </c>
      <c r="F3" s="75">
        <v>1597000</v>
      </c>
      <c r="G3" s="22">
        <f t="shared" si="0"/>
        <v>7951000</v>
      </c>
      <c r="H3" s="22">
        <f t="shared" si="1"/>
        <v>1055582.1083421248</v>
      </c>
      <c r="I3" s="22">
        <f t="shared" ref="I3:I15" si="3">G3-H3</f>
        <v>6895417.8916578749</v>
      </c>
    </row>
    <row r="4" spans="1:9" ht="15.75" customHeight="1" x14ac:dyDescent="0.25">
      <c r="A4" s="92">
        <f t="shared" si="2"/>
        <v>2022</v>
      </c>
      <c r="B4" s="74">
        <v>902990.84679999994</v>
      </c>
      <c r="C4" s="75">
        <v>1579000</v>
      </c>
      <c r="D4" s="75">
        <v>2705000</v>
      </c>
      <c r="E4" s="75">
        <v>2183000</v>
      </c>
      <c r="F4" s="75">
        <v>1651000</v>
      </c>
      <c r="G4" s="22">
        <f t="shared" si="0"/>
        <v>8118000</v>
      </c>
      <c r="H4" s="22">
        <f t="shared" si="1"/>
        <v>1062028.5619187746</v>
      </c>
      <c r="I4" s="22">
        <f t="shared" si="3"/>
        <v>7055971.4380812254</v>
      </c>
    </row>
    <row r="5" spans="1:9" ht="15.75" customHeight="1" x14ac:dyDescent="0.25">
      <c r="A5" s="92">
        <f t="shared" si="2"/>
        <v>2023</v>
      </c>
      <c r="B5" s="74">
        <v>908034.73600000003</v>
      </c>
      <c r="C5" s="75">
        <v>1617000</v>
      </c>
      <c r="D5" s="75">
        <v>2749000</v>
      </c>
      <c r="E5" s="75">
        <v>2216000</v>
      </c>
      <c r="F5" s="75">
        <v>1705000</v>
      </c>
      <c r="G5" s="22">
        <f t="shared" si="0"/>
        <v>8287000</v>
      </c>
      <c r="H5" s="22">
        <f t="shared" si="1"/>
        <v>1067960.7974586328</v>
      </c>
      <c r="I5" s="22">
        <f t="shared" si="3"/>
        <v>7219039.2025413672</v>
      </c>
    </row>
    <row r="6" spans="1:9" ht="15.75" customHeight="1" x14ac:dyDescent="0.25">
      <c r="A6" s="92">
        <f t="shared" si="2"/>
        <v>2024</v>
      </c>
      <c r="B6" s="74">
        <v>912665.16720000003</v>
      </c>
      <c r="C6" s="75">
        <v>1658000</v>
      </c>
      <c r="D6" s="75">
        <v>2797000</v>
      </c>
      <c r="E6" s="75">
        <v>2251000</v>
      </c>
      <c r="F6" s="75">
        <v>1758000</v>
      </c>
      <c r="G6" s="22">
        <f t="shared" si="0"/>
        <v>8464000</v>
      </c>
      <c r="H6" s="22">
        <f t="shared" si="1"/>
        <v>1073406.75541693</v>
      </c>
      <c r="I6" s="22">
        <f t="shared" si="3"/>
        <v>7390593.2445830703</v>
      </c>
    </row>
    <row r="7" spans="1:9" ht="15.75" customHeight="1" x14ac:dyDescent="0.25">
      <c r="A7" s="92">
        <f t="shared" si="2"/>
        <v>2025</v>
      </c>
      <c r="B7" s="74">
        <v>916850.3</v>
      </c>
      <c r="C7" s="75">
        <v>1700000</v>
      </c>
      <c r="D7" s="75">
        <v>2847000</v>
      </c>
      <c r="E7" s="75">
        <v>2289000</v>
      </c>
      <c r="F7" s="75">
        <v>1807000</v>
      </c>
      <c r="G7" s="22">
        <f t="shared" si="0"/>
        <v>8643000</v>
      </c>
      <c r="H7" s="22">
        <f t="shared" si="1"/>
        <v>1078328.9875577919</v>
      </c>
      <c r="I7" s="22">
        <f t="shared" si="3"/>
        <v>7564671.0124422079</v>
      </c>
    </row>
    <row r="8" spans="1:9" ht="15.75" customHeight="1" x14ac:dyDescent="0.25">
      <c r="A8" s="92">
        <f t="shared" si="2"/>
        <v>2026</v>
      </c>
      <c r="B8" s="74">
        <v>924333.13800000004</v>
      </c>
      <c r="C8" s="75">
        <v>1742000</v>
      </c>
      <c r="D8" s="75">
        <v>2900000</v>
      </c>
      <c r="E8" s="75">
        <v>2330000</v>
      </c>
      <c r="F8" s="75">
        <v>1854000</v>
      </c>
      <c r="G8" s="22">
        <f t="shared" si="0"/>
        <v>8826000</v>
      </c>
      <c r="H8" s="22">
        <f t="shared" si="1"/>
        <v>1087129.7275745634</v>
      </c>
      <c r="I8" s="22">
        <f t="shared" si="3"/>
        <v>7738870.2724254364</v>
      </c>
    </row>
    <row r="9" spans="1:9" ht="15.75" customHeight="1" x14ac:dyDescent="0.25">
      <c r="A9" s="92">
        <f t="shared" si="2"/>
        <v>2027</v>
      </c>
      <c r="B9" s="74">
        <v>931532.62399999995</v>
      </c>
      <c r="C9" s="75">
        <v>1785000</v>
      </c>
      <c r="D9" s="75">
        <v>2955000</v>
      </c>
      <c r="E9" s="75">
        <v>2374000</v>
      </c>
      <c r="F9" s="75">
        <v>1898000</v>
      </c>
      <c r="G9" s="22">
        <f t="shared" si="0"/>
        <v>9012000</v>
      </c>
      <c r="H9" s="22">
        <f t="shared" si="1"/>
        <v>1095597.2107060149</v>
      </c>
      <c r="I9" s="22">
        <f t="shared" si="3"/>
        <v>7916402.7892939849</v>
      </c>
    </row>
    <row r="10" spans="1:9" ht="15.75" customHeight="1" x14ac:dyDescent="0.25">
      <c r="A10" s="92">
        <f t="shared" si="2"/>
        <v>2028</v>
      </c>
      <c r="B10" s="74">
        <v>938419.10400000005</v>
      </c>
      <c r="C10" s="75">
        <v>1829000</v>
      </c>
      <c r="D10" s="75">
        <v>3012000</v>
      </c>
      <c r="E10" s="75">
        <v>2421000</v>
      </c>
      <c r="F10" s="75">
        <v>1940000</v>
      </c>
      <c r="G10" s="22">
        <f t="shared" si="0"/>
        <v>9202000</v>
      </c>
      <c r="H10" s="22">
        <f t="shared" si="1"/>
        <v>1103696.5601922257</v>
      </c>
      <c r="I10" s="22">
        <f t="shared" si="3"/>
        <v>8098303.4398077745</v>
      </c>
    </row>
    <row r="11" spans="1:9" ht="15.75" customHeight="1" x14ac:dyDescent="0.25">
      <c r="A11" s="92">
        <f t="shared" si="2"/>
        <v>2029</v>
      </c>
      <c r="B11" s="74">
        <v>945041.52599999995</v>
      </c>
      <c r="C11" s="75">
        <v>1868000</v>
      </c>
      <c r="D11" s="75">
        <v>3075000</v>
      </c>
      <c r="E11" s="75">
        <v>2469000</v>
      </c>
      <c r="F11" s="75">
        <v>1979000</v>
      </c>
      <c r="G11" s="22">
        <f t="shared" si="0"/>
        <v>9391000</v>
      </c>
      <c r="H11" s="22">
        <f t="shared" si="1"/>
        <v>1111485.3449157954</v>
      </c>
      <c r="I11" s="22">
        <f t="shared" si="3"/>
        <v>8279514.6550842049</v>
      </c>
    </row>
    <row r="12" spans="1:9" ht="15.75" customHeight="1" x14ac:dyDescent="0.25">
      <c r="A12" s="92">
        <f t="shared" si="2"/>
        <v>2030</v>
      </c>
      <c r="B12" s="74">
        <v>951369.94</v>
      </c>
      <c r="C12" s="75">
        <v>1901000</v>
      </c>
      <c r="D12" s="75">
        <v>3144000</v>
      </c>
      <c r="E12" s="75">
        <v>2514000</v>
      </c>
      <c r="F12" s="75">
        <v>2017000</v>
      </c>
      <c r="G12" s="22">
        <f t="shared" si="0"/>
        <v>9576000</v>
      </c>
      <c r="H12" s="22">
        <f t="shared" si="1"/>
        <v>1118928.3399843106</v>
      </c>
      <c r="I12" s="22">
        <f t="shared" si="3"/>
        <v>8457071.6600156892</v>
      </c>
    </row>
    <row r="13" spans="1:9" ht="15.75" customHeight="1" x14ac:dyDescent="0.25">
      <c r="A13" s="92" t="str">
        <f t="shared" si="2"/>
        <v/>
      </c>
      <c r="B13" s="74">
        <v>1487000</v>
      </c>
      <c r="C13" s="75">
        <v>2567000</v>
      </c>
      <c r="D13" s="75">
        <v>2074000</v>
      </c>
      <c r="E13" s="75">
        <v>1493000</v>
      </c>
      <c r="F13" s="75">
        <v>5.7458047249999991E-2</v>
      </c>
      <c r="G13" s="22">
        <f t="shared" si="0"/>
        <v>6134000.0574580468</v>
      </c>
      <c r="H13" s="22">
        <f t="shared" si="1"/>
        <v>1748895.3262036738</v>
      </c>
      <c r="I13" s="22">
        <f t="shared" si="3"/>
        <v>4385104.7312543727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3" sqref="C3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0.16</v>
      </c>
      <c r="E5" s="121">
        <v>0.16</v>
      </c>
      <c r="F5" s="121">
        <v>0.16</v>
      </c>
      <c r="G5" s="121">
        <v>0.16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49"/>
  <sheetViews>
    <sheetView topLeftCell="B25" zoomScaleNormal="100" workbookViewId="0">
      <selection activeCell="D37" sqref="D37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62</v>
      </c>
      <c r="B17" s="53" t="s">
        <v>27</v>
      </c>
      <c r="C17" s="53" t="s">
        <v>267</v>
      </c>
      <c r="D17" s="121">
        <v>0.7</v>
      </c>
      <c r="E17" s="121">
        <v>0</v>
      </c>
      <c r="F17" s="121">
        <v>0</v>
      </c>
      <c r="G17" s="121">
        <v>0</v>
      </c>
      <c r="H17" s="121">
        <v>0</v>
      </c>
      <c r="I17" s="36"/>
    </row>
    <row r="18" spans="1:9" x14ac:dyDescent="0.25">
      <c r="C18" s="53" t="s">
        <v>268</v>
      </c>
      <c r="D18" s="121">
        <v>0.19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A19" s="53" t="s">
        <v>63</v>
      </c>
      <c r="B19" s="53" t="s">
        <v>27</v>
      </c>
      <c r="C19" s="53" t="s">
        <v>267</v>
      </c>
      <c r="D19" s="121">
        <v>0.7</v>
      </c>
      <c r="E19" s="121">
        <v>0</v>
      </c>
      <c r="F19" s="121">
        <v>0</v>
      </c>
      <c r="G19" s="121">
        <v>0</v>
      </c>
      <c r="H19" s="121">
        <v>0</v>
      </c>
    </row>
    <row r="20" spans="1:9" x14ac:dyDescent="0.25">
      <c r="C20" s="53" t="s">
        <v>268</v>
      </c>
      <c r="D20" s="121">
        <v>0.19</v>
      </c>
      <c r="E20" s="121">
        <v>0</v>
      </c>
      <c r="F20" s="121">
        <v>0</v>
      </c>
      <c r="G20" s="121">
        <v>0</v>
      </c>
      <c r="H20" s="121">
        <v>0</v>
      </c>
    </row>
    <row r="21" spans="1:9" x14ac:dyDescent="0.25">
      <c r="A21" s="53" t="s">
        <v>64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</row>
    <row r="23" spans="1:9" x14ac:dyDescent="0.25">
      <c r="A23" s="53" t="s">
        <v>79</v>
      </c>
      <c r="B23" s="53" t="s">
        <v>71</v>
      </c>
      <c r="C23" s="53" t="s">
        <v>267</v>
      </c>
      <c r="D23" s="121">
        <v>1</v>
      </c>
      <c r="E23" s="121">
        <v>1</v>
      </c>
      <c r="F23" s="121">
        <v>1</v>
      </c>
      <c r="G23" s="121">
        <v>1</v>
      </c>
      <c r="H23" s="121">
        <v>1</v>
      </c>
    </row>
    <row r="24" spans="1:9" x14ac:dyDescent="0.25">
      <c r="C24" s="53" t="s">
        <v>268</v>
      </c>
      <c r="D24" s="121">
        <v>0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C25" s="53" t="s">
        <v>269</v>
      </c>
      <c r="D25" s="121">
        <v>0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A26" s="53" t="s">
        <v>80</v>
      </c>
      <c r="B26" s="53" t="s">
        <v>71</v>
      </c>
      <c r="C26" s="53" t="s">
        <v>267</v>
      </c>
      <c r="D26" s="121">
        <v>1</v>
      </c>
      <c r="E26" s="121">
        <v>1</v>
      </c>
      <c r="F26" s="121">
        <v>1</v>
      </c>
      <c r="G26" s="121">
        <v>1</v>
      </c>
      <c r="H26" s="121">
        <v>1</v>
      </c>
    </row>
    <row r="27" spans="1:9" x14ac:dyDescent="0.25">
      <c r="C27" s="53" t="s">
        <v>268</v>
      </c>
      <c r="D27" s="121">
        <v>0</v>
      </c>
      <c r="E27" s="121">
        <v>0</v>
      </c>
      <c r="F27" s="121">
        <v>0</v>
      </c>
      <c r="G27" s="121">
        <v>0</v>
      </c>
      <c r="H27" s="121">
        <v>0</v>
      </c>
    </row>
    <row r="28" spans="1:9" x14ac:dyDescent="0.25">
      <c r="C28" s="53" t="s">
        <v>269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A29" s="53" t="s">
        <v>81</v>
      </c>
      <c r="B29" s="53" t="s">
        <v>71</v>
      </c>
      <c r="C29" s="53" t="s">
        <v>267</v>
      </c>
      <c r="D29" s="121">
        <v>1</v>
      </c>
      <c r="E29" s="121">
        <v>1</v>
      </c>
      <c r="F29" s="121">
        <v>1</v>
      </c>
      <c r="G29" s="121">
        <v>1</v>
      </c>
      <c r="H29" s="121">
        <v>1</v>
      </c>
    </row>
    <row r="30" spans="1:9" x14ac:dyDescent="0.25">
      <c r="C30" s="53" t="s">
        <v>268</v>
      </c>
      <c r="D30" s="121">
        <v>0</v>
      </c>
      <c r="E30" s="121">
        <v>0</v>
      </c>
      <c r="F30" s="121">
        <v>0</v>
      </c>
      <c r="G30" s="121">
        <v>0</v>
      </c>
      <c r="H30" s="121">
        <v>0</v>
      </c>
    </row>
    <row r="31" spans="1:9" x14ac:dyDescent="0.25">
      <c r="C31" s="53" t="s">
        <v>269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A32" s="53" t="s">
        <v>82</v>
      </c>
      <c r="B32" s="53" t="s">
        <v>71</v>
      </c>
      <c r="C32" s="53" t="s">
        <v>267</v>
      </c>
      <c r="D32" s="121">
        <v>1</v>
      </c>
      <c r="E32" s="121">
        <v>1</v>
      </c>
      <c r="F32" s="121">
        <v>1</v>
      </c>
      <c r="G32" s="121">
        <v>1</v>
      </c>
      <c r="H32" s="121">
        <v>1</v>
      </c>
    </row>
    <row r="33" spans="1:8" x14ac:dyDescent="0.25">
      <c r="C33" s="53" t="s">
        <v>268</v>
      </c>
      <c r="D33" s="121">
        <v>0</v>
      </c>
      <c r="E33" s="121">
        <v>0</v>
      </c>
      <c r="F33" s="121">
        <v>0</v>
      </c>
      <c r="G33" s="121">
        <v>0</v>
      </c>
      <c r="H33" s="121">
        <v>0</v>
      </c>
    </row>
    <row r="34" spans="1:8" x14ac:dyDescent="0.25">
      <c r="C34" s="53" t="s">
        <v>269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A35" s="53" t="s">
        <v>83</v>
      </c>
      <c r="B35" s="53" t="s">
        <v>71</v>
      </c>
      <c r="C35" s="53" t="s">
        <v>267</v>
      </c>
      <c r="D35" s="121">
        <v>1</v>
      </c>
      <c r="E35" s="121">
        <v>1</v>
      </c>
      <c r="F35" s="121">
        <v>1</v>
      </c>
      <c r="G35" s="121">
        <v>1</v>
      </c>
      <c r="H35" s="121">
        <v>1</v>
      </c>
    </row>
    <row r="36" spans="1:8" x14ac:dyDescent="0.25">
      <c r="C36" s="53" t="s">
        <v>268</v>
      </c>
      <c r="D36" s="121">
        <v>0</v>
      </c>
      <c r="E36" s="121">
        <v>0</v>
      </c>
      <c r="F36" s="121">
        <v>0</v>
      </c>
      <c r="G36" s="121">
        <v>0</v>
      </c>
      <c r="H36" s="121">
        <v>0</v>
      </c>
    </row>
    <row r="37" spans="1:8" x14ac:dyDescent="0.25">
      <c r="C37" s="53" t="s">
        <v>269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A38" s="53" t="s">
        <v>60</v>
      </c>
      <c r="B38" s="53" t="s">
        <v>71</v>
      </c>
      <c r="C38" s="53" t="s">
        <v>267</v>
      </c>
      <c r="D38" s="121">
        <v>0.3</v>
      </c>
      <c r="E38" s="121">
        <v>0.3</v>
      </c>
      <c r="F38" s="121">
        <v>0.3</v>
      </c>
      <c r="G38" s="121">
        <v>0.3</v>
      </c>
      <c r="H38" s="121">
        <v>0.3</v>
      </c>
    </row>
    <row r="39" spans="1:8" x14ac:dyDescent="0.25">
      <c r="C39" s="53" t="s">
        <v>268</v>
      </c>
      <c r="D39" s="121">
        <v>0.5</v>
      </c>
      <c r="E39" s="121">
        <v>0.5</v>
      </c>
      <c r="F39" s="121">
        <v>0.5</v>
      </c>
      <c r="G39" s="121">
        <v>0.5</v>
      </c>
      <c r="H39" s="121">
        <v>0.5</v>
      </c>
    </row>
    <row r="40" spans="1:8" x14ac:dyDescent="0.25">
      <c r="C40" s="53" t="s">
        <v>269</v>
      </c>
      <c r="D40" s="121">
        <v>0.65</v>
      </c>
      <c r="E40" s="121">
        <v>0.65</v>
      </c>
      <c r="F40" s="121">
        <v>0.65</v>
      </c>
      <c r="G40" s="121">
        <v>0.65</v>
      </c>
      <c r="H40" s="121">
        <v>0.65</v>
      </c>
    </row>
    <row r="41" spans="1:8" x14ac:dyDescent="0.25">
      <c r="B41" s="53" t="s">
        <v>16</v>
      </c>
      <c r="C41" s="53" t="s">
        <v>267</v>
      </c>
      <c r="D41" s="121">
        <v>0.3</v>
      </c>
      <c r="E41" s="121">
        <v>0.3</v>
      </c>
      <c r="F41" s="121">
        <v>0.3</v>
      </c>
      <c r="G41" s="121">
        <v>0.3</v>
      </c>
      <c r="H41" s="121">
        <v>0.3</v>
      </c>
    </row>
    <row r="42" spans="1:8" x14ac:dyDescent="0.25">
      <c r="C42" s="53" t="s">
        <v>268</v>
      </c>
      <c r="D42" s="121">
        <v>0.5</v>
      </c>
      <c r="E42" s="121">
        <v>0.5</v>
      </c>
      <c r="F42" s="121">
        <v>0.5</v>
      </c>
      <c r="G42" s="121">
        <v>0.5</v>
      </c>
      <c r="H42" s="121">
        <v>0.5</v>
      </c>
    </row>
    <row r="43" spans="1:8" x14ac:dyDescent="0.25">
      <c r="C43" s="53" t="s">
        <v>269</v>
      </c>
      <c r="D43" s="121">
        <v>0.63</v>
      </c>
      <c r="E43" s="121">
        <v>0.63</v>
      </c>
      <c r="F43" s="121">
        <v>0.63</v>
      </c>
      <c r="G43" s="121">
        <v>0.63</v>
      </c>
      <c r="H43" s="121">
        <v>0.63</v>
      </c>
    </row>
    <row r="44" spans="1:8" x14ac:dyDescent="0.25">
      <c r="A44" s="53" t="s">
        <v>84</v>
      </c>
      <c r="B44" s="53" t="s">
        <v>71</v>
      </c>
      <c r="C44" s="53" t="s">
        <v>267</v>
      </c>
      <c r="D44" s="121">
        <v>0.88</v>
      </c>
      <c r="E44" s="121">
        <v>0.88</v>
      </c>
      <c r="F44" s="121">
        <v>0.88</v>
      </c>
      <c r="G44" s="121">
        <v>0.88</v>
      </c>
      <c r="H44" s="121">
        <v>0.88</v>
      </c>
    </row>
    <row r="45" spans="1:8" x14ac:dyDescent="0.25">
      <c r="C45" s="53" t="s">
        <v>268</v>
      </c>
      <c r="D45" s="121">
        <v>0.8</v>
      </c>
      <c r="E45" s="121">
        <v>0.8</v>
      </c>
      <c r="F45" s="121">
        <v>0.8</v>
      </c>
      <c r="G45" s="121">
        <v>0.8</v>
      </c>
      <c r="H45" s="121">
        <v>0.8</v>
      </c>
    </row>
    <row r="46" spans="1:8" x14ac:dyDescent="0.25">
      <c r="A46" s="53" t="s">
        <v>85</v>
      </c>
      <c r="B46" s="53" t="s">
        <v>71</v>
      </c>
      <c r="C46" s="53" t="s">
        <v>267</v>
      </c>
      <c r="D46" s="121">
        <v>1</v>
      </c>
      <c r="E46" s="121">
        <v>1</v>
      </c>
      <c r="F46" s="121">
        <v>1</v>
      </c>
      <c r="G46" s="121">
        <v>1</v>
      </c>
      <c r="H46" s="121">
        <v>1</v>
      </c>
    </row>
    <row r="47" spans="1:8" x14ac:dyDescent="0.25">
      <c r="C47" s="53" t="s">
        <v>268</v>
      </c>
      <c r="D47" s="121">
        <v>0.76</v>
      </c>
      <c r="E47" s="121">
        <v>0.76</v>
      </c>
      <c r="F47" s="121">
        <v>0.76</v>
      </c>
      <c r="G47" s="121">
        <v>0.76</v>
      </c>
      <c r="H47" s="121">
        <v>0.76</v>
      </c>
    </row>
    <row r="48" spans="1:8" x14ac:dyDescent="0.25">
      <c r="A48" s="53" t="s">
        <v>196</v>
      </c>
      <c r="B48" s="53" t="s">
        <v>13</v>
      </c>
      <c r="C48" s="53" t="s">
        <v>267</v>
      </c>
      <c r="D48" s="121">
        <v>0.57999999999999996</v>
      </c>
      <c r="E48" s="121">
        <v>0</v>
      </c>
      <c r="F48" s="121">
        <v>0</v>
      </c>
      <c r="G48" s="121">
        <v>0</v>
      </c>
      <c r="H48" s="121">
        <v>0</v>
      </c>
    </row>
    <row r="49" spans="3:8" x14ac:dyDescent="0.25">
      <c r="C49" s="53" t="s">
        <v>268</v>
      </c>
      <c r="D49" s="121">
        <v>0.88</v>
      </c>
      <c r="E49" s="121">
        <v>0</v>
      </c>
      <c r="F49" s="121">
        <v>0</v>
      </c>
      <c r="G49" s="121">
        <v>0</v>
      </c>
      <c r="H49" s="121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5.7458047249999991E-2</v>
      </c>
    </row>
    <row r="4" spans="1:8" ht="15.75" customHeight="1" x14ac:dyDescent="0.25">
      <c r="B4" s="24" t="s">
        <v>7</v>
      </c>
      <c r="C4" s="76">
        <v>0.30585281619201343</v>
      </c>
    </row>
    <row r="5" spans="1:8" ht="15.75" customHeight="1" x14ac:dyDescent="0.25">
      <c r="B5" s="24" t="s">
        <v>8</v>
      </c>
      <c r="C5" s="76">
        <v>8.2517813992626157E-2</v>
      </c>
    </row>
    <row r="6" spans="1:8" ht="15.75" customHeight="1" x14ac:dyDescent="0.25">
      <c r="B6" s="24" t="s">
        <v>10</v>
      </c>
      <c r="C6" s="76">
        <v>0.14624106039985282</v>
      </c>
    </row>
    <row r="7" spans="1:8" ht="15.75" customHeight="1" x14ac:dyDescent="0.25">
      <c r="B7" s="24" t="s">
        <v>13</v>
      </c>
      <c r="C7" s="76">
        <v>7.5572159207858119E-2</v>
      </c>
    </row>
    <row r="8" spans="1:8" ht="15.75" customHeight="1" x14ac:dyDescent="0.25">
      <c r="B8" s="24" t="s">
        <v>14</v>
      </c>
      <c r="C8" s="76">
        <v>1.1131286593422152E-2</v>
      </c>
    </row>
    <row r="9" spans="1:8" ht="15.75" customHeight="1" x14ac:dyDescent="0.25">
      <c r="B9" s="24" t="s">
        <v>27</v>
      </c>
      <c r="C9" s="76">
        <v>7.7402681871085927E-2</v>
      </c>
    </row>
    <row r="10" spans="1:8" ht="15.75" customHeight="1" x14ac:dyDescent="0.25">
      <c r="B10" s="24" t="s">
        <v>15</v>
      </c>
      <c r="C10" s="76">
        <v>0.24382413449314155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0.169643766512525</v>
      </c>
      <c r="D14" s="76">
        <v>0.169643766512525</v>
      </c>
      <c r="E14" s="76">
        <v>0.118958083369833</v>
      </c>
      <c r="F14" s="76">
        <v>0.118958083369833</v>
      </c>
    </row>
    <row r="15" spans="1:8" ht="15.75" customHeight="1" x14ac:dyDescent="0.25">
      <c r="B15" s="24" t="s">
        <v>16</v>
      </c>
      <c r="C15" s="76">
        <v>0.14222259254780001</v>
      </c>
      <c r="D15" s="76">
        <v>0.14222259254780001</v>
      </c>
      <c r="E15" s="76">
        <v>8.7914705160732118E-2</v>
      </c>
      <c r="F15" s="76">
        <v>8.7914705160732118E-2</v>
      </c>
    </row>
    <row r="16" spans="1:8" ht="15.75" customHeight="1" x14ac:dyDescent="0.25">
      <c r="B16" s="24" t="s">
        <v>17</v>
      </c>
      <c r="C16" s="76">
        <v>4.91769721918996E-2</v>
      </c>
      <c r="D16" s="76">
        <v>4.91769721918996E-2</v>
      </c>
      <c r="E16" s="76">
        <v>4.1153941029620202E-2</v>
      </c>
      <c r="F16" s="76">
        <v>4.1153941029620202E-2</v>
      </c>
    </row>
    <row r="17" spans="1:8" ht="15.75" customHeight="1" x14ac:dyDescent="0.25">
      <c r="B17" s="24" t="s">
        <v>18</v>
      </c>
      <c r="C17" s="76">
        <v>4.1615824795455001E-3</v>
      </c>
      <c r="D17" s="76">
        <v>4.1615824795455001E-3</v>
      </c>
      <c r="E17" s="76">
        <v>1.0178930296020501E-2</v>
      </c>
      <c r="F17" s="76">
        <v>1.0178930296020501E-2</v>
      </c>
    </row>
    <row r="18" spans="1:8" ht="15.75" customHeight="1" x14ac:dyDescent="0.25">
      <c r="B18" s="24" t="s">
        <v>19</v>
      </c>
      <c r="C18" s="76">
        <v>0.19552689071384799</v>
      </c>
      <c r="D18" s="76">
        <v>0.19552689071384799</v>
      </c>
      <c r="E18" s="76">
        <v>0.30639096576858499</v>
      </c>
      <c r="F18" s="76">
        <v>0.30639096576858499</v>
      </c>
    </row>
    <row r="19" spans="1:8" ht="15.75" customHeight="1" x14ac:dyDescent="0.25">
      <c r="B19" s="24" t="s">
        <v>20</v>
      </c>
      <c r="C19" s="76">
        <v>1.7104167655179699E-2</v>
      </c>
      <c r="D19" s="76">
        <v>1.7104167655179699E-2</v>
      </c>
      <c r="E19" s="76">
        <v>1.7584413261307299E-2</v>
      </c>
      <c r="F19" s="76">
        <v>1.7584413261307299E-2</v>
      </c>
    </row>
    <row r="20" spans="1:8" ht="15.75" customHeight="1" x14ac:dyDescent="0.25">
      <c r="B20" s="24" t="s">
        <v>21</v>
      </c>
      <c r="C20" s="76">
        <v>4.79580863418268E-2</v>
      </c>
      <c r="D20" s="76">
        <v>4.79580863418268E-2</v>
      </c>
      <c r="E20" s="76">
        <v>1.6616298723822798E-2</v>
      </c>
      <c r="F20" s="76">
        <v>1.6616298723822798E-2</v>
      </c>
    </row>
    <row r="21" spans="1:8" ht="15.75" customHeight="1" x14ac:dyDescent="0.25">
      <c r="B21" s="24" t="s">
        <v>22</v>
      </c>
      <c r="C21" s="76">
        <v>3.7652925047179202E-2</v>
      </c>
      <c r="D21" s="76">
        <v>3.7652925047179202E-2</v>
      </c>
      <c r="E21" s="76">
        <v>8.86876154003092E-2</v>
      </c>
      <c r="F21" s="76">
        <v>8.86876154003092E-2</v>
      </c>
    </row>
    <row r="22" spans="1:8" ht="15.75" customHeight="1" x14ac:dyDescent="0.25">
      <c r="B22" s="24" t="s">
        <v>23</v>
      </c>
      <c r="C22" s="76">
        <v>0.33655301651019609</v>
      </c>
      <c r="D22" s="76">
        <v>0.33655301651019609</v>
      </c>
      <c r="E22" s="76">
        <v>0.31251504698976995</v>
      </c>
      <c r="F22" s="76">
        <v>0.31251504698976995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6.6600000000000006E-2</v>
      </c>
    </row>
    <row r="27" spans="1:8" ht="15.75" customHeight="1" x14ac:dyDescent="0.25">
      <c r="B27" s="24" t="s">
        <v>39</v>
      </c>
      <c r="C27" s="76">
        <v>5.0000000000000001E-3</v>
      </c>
    </row>
    <row r="28" spans="1:8" ht="15.75" customHeight="1" x14ac:dyDescent="0.25">
      <c r="B28" s="24" t="s">
        <v>40</v>
      </c>
      <c r="C28" s="76">
        <v>0.1246</v>
      </c>
    </row>
    <row r="29" spans="1:8" ht="15.75" customHeight="1" x14ac:dyDescent="0.25">
      <c r="B29" s="24" t="s">
        <v>41</v>
      </c>
      <c r="C29" s="76">
        <v>0.1232</v>
      </c>
    </row>
    <row r="30" spans="1:8" ht="15.75" customHeight="1" x14ac:dyDescent="0.25">
      <c r="B30" s="24" t="s">
        <v>42</v>
      </c>
      <c r="C30" s="76">
        <v>8.539999999999999E-2</v>
      </c>
    </row>
    <row r="31" spans="1:8" ht="15.75" customHeight="1" x14ac:dyDescent="0.25">
      <c r="B31" s="24" t="s">
        <v>43</v>
      </c>
      <c r="C31" s="76">
        <v>0.1371</v>
      </c>
    </row>
    <row r="32" spans="1:8" ht="15.75" customHeight="1" x14ac:dyDescent="0.25">
      <c r="B32" s="24" t="s">
        <v>44</v>
      </c>
      <c r="C32" s="76">
        <v>1.3899999999999999E-2</v>
      </c>
    </row>
    <row r="33" spans="2:3" ht="15.75" customHeight="1" x14ac:dyDescent="0.25">
      <c r="B33" s="24" t="s">
        <v>45</v>
      </c>
      <c r="C33" s="76">
        <v>0.16289999999999999</v>
      </c>
    </row>
    <row r="34" spans="2:3" ht="15.75" customHeight="1" x14ac:dyDescent="0.25">
      <c r="B34" s="24" t="s">
        <v>46</v>
      </c>
      <c r="C34" s="76">
        <v>0.28130000000447031</v>
      </c>
    </row>
    <row r="35" spans="2:3" ht="15.75" customHeight="1" x14ac:dyDescent="0.25">
      <c r="B35" s="32" t="s">
        <v>129</v>
      </c>
      <c r="C35" s="91">
        <f>SUM(C26:C34)</f>
        <v>1.0000000000044704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0.75294641313043476</v>
      </c>
      <c r="D2" s="77">
        <v>0.75294641313043476</v>
      </c>
      <c r="E2" s="77">
        <v>0.68165614858759527</v>
      </c>
      <c r="F2" s="77">
        <v>0.53399307062726187</v>
      </c>
      <c r="G2" s="77">
        <v>0.45481394833333338</v>
      </c>
    </row>
    <row r="3" spans="1:15" ht="15.75" customHeight="1" x14ac:dyDescent="0.25">
      <c r="A3" s="5"/>
      <c r="B3" s="11" t="s">
        <v>118</v>
      </c>
      <c r="C3" s="77">
        <v>0.16455120286956523</v>
      </c>
      <c r="D3" s="77">
        <v>0.16455120286956523</v>
      </c>
      <c r="E3" s="77">
        <v>0.23419472941240477</v>
      </c>
      <c r="F3" s="77">
        <v>0.29344665937273823</v>
      </c>
      <c r="G3" s="77">
        <v>0.31487119500000005</v>
      </c>
    </row>
    <row r="4" spans="1:15" ht="15.75" customHeight="1" x14ac:dyDescent="0.25">
      <c r="A4" s="5"/>
      <c r="B4" s="11" t="s">
        <v>116</v>
      </c>
      <c r="C4" s="78">
        <v>4.8470150600000005E-2</v>
      </c>
      <c r="D4" s="78">
        <v>4.8470150600000005E-2</v>
      </c>
      <c r="E4" s="78">
        <v>6.9782198731707309E-2</v>
      </c>
      <c r="F4" s="78">
        <v>0.1218072494117647</v>
      </c>
      <c r="G4" s="78">
        <v>0.17298757793304223</v>
      </c>
    </row>
    <row r="5" spans="1:15" ht="15.75" customHeight="1" x14ac:dyDescent="0.25">
      <c r="A5" s="5"/>
      <c r="B5" s="11" t="s">
        <v>119</v>
      </c>
      <c r="C5" s="78">
        <v>3.4032233400000007E-2</v>
      </c>
      <c r="D5" s="78">
        <v>3.4032233400000007E-2</v>
      </c>
      <c r="E5" s="78">
        <v>1.436692326829268E-2</v>
      </c>
      <c r="F5" s="78">
        <v>5.0753020588235297E-2</v>
      </c>
      <c r="G5" s="78">
        <v>5.7327278733624462E-2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0.75972115673469387</v>
      </c>
      <c r="D8" s="77">
        <v>0.75972115673469387</v>
      </c>
      <c r="E8" s="77">
        <v>0.66195936375696762</v>
      </c>
      <c r="F8" s="77">
        <v>0.69037433131263382</v>
      </c>
      <c r="G8" s="77">
        <v>0.81908456462589918</v>
      </c>
    </row>
    <row r="9" spans="1:15" ht="15.75" customHeight="1" x14ac:dyDescent="0.25">
      <c r="B9" s="7" t="s">
        <v>121</v>
      </c>
      <c r="C9" s="77">
        <v>0.17093726026530615</v>
      </c>
      <c r="D9" s="77">
        <v>0.17093726026530615</v>
      </c>
      <c r="E9" s="77">
        <v>0.2363425262430324</v>
      </c>
      <c r="F9" s="77">
        <v>0.24277997468736617</v>
      </c>
      <c r="G9" s="77">
        <v>0.15401590104076737</v>
      </c>
    </row>
    <row r="10" spans="1:15" ht="15.75" customHeight="1" x14ac:dyDescent="0.25">
      <c r="B10" s="7" t="s">
        <v>122</v>
      </c>
      <c r="C10" s="78">
        <v>5.3391305999999999E-2</v>
      </c>
      <c r="D10" s="78">
        <v>5.3391305999999999E-2</v>
      </c>
      <c r="E10" s="78">
        <v>8.2535938999999989E-2</v>
      </c>
      <c r="F10" s="78">
        <v>5.6131022000000003E-2</v>
      </c>
      <c r="G10" s="78">
        <v>2.4640526466666667E-2</v>
      </c>
    </row>
    <row r="11" spans="1:15" ht="15.75" customHeight="1" x14ac:dyDescent="0.25">
      <c r="B11" s="7" t="s">
        <v>123</v>
      </c>
      <c r="C11" s="78">
        <v>1.5950276999999999E-2</v>
      </c>
      <c r="D11" s="78">
        <v>1.5950276999999999E-2</v>
      </c>
      <c r="E11" s="78">
        <v>1.9162170999999999E-2</v>
      </c>
      <c r="F11" s="78">
        <v>1.0714672000000001E-2</v>
      </c>
      <c r="G11" s="78">
        <v>2.2590078666666668E-3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0.76397983049999996</v>
      </c>
      <c r="D14" s="79">
        <v>0.75075595181599997</v>
      </c>
      <c r="E14" s="79">
        <v>0.75075595181599997</v>
      </c>
      <c r="F14" s="79">
        <v>0.65965136567799998</v>
      </c>
      <c r="G14" s="79">
        <v>0.65965136567799998</v>
      </c>
      <c r="H14" s="80">
        <v>0.54299999999999993</v>
      </c>
      <c r="I14" s="80">
        <v>0.54299999999999993</v>
      </c>
      <c r="J14" s="80">
        <v>0.54299999999999993</v>
      </c>
      <c r="K14" s="80">
        <v>0.54299999999999993</v>
      </c>
      <c r="L14" s="80">
        <v>0.67748888373900007</v>
      </c>
      <c r="M14" s="80">
        <v>0.54279303029799997</v>
      </c>
      <c r="N14" s="80">
        <v>0.49511542663749997</v>
      </c>
      <c r="O14" s="80">
        <v>0.47738279227150004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0.28235755397410245</v>
      </c>
      <c r="D15" s="77">
        <f t="shared" si="0"/>
        <v>0.27747017096973592</v>
      </c>
      <c r="E15" s="77">
        <f t="shared" si="0"/>
        <v>0.27747017096973592</v>
      </c>
      <c r="F15" s="77">
        <f t="shared" si="0"/>
        <v>0.24379903585493448</v>
      </c>
      <c r="G15" s="77">
        <f t="shared" si="0"/>
        <v>0.24379903585493448</v>
      </c>
      <c r="H15" s="77">
        <f t="shared" si="0"/>
        <v>0.20068612506117414</v>
      </c>
      <c r="I15" s="77">
        <f t="shared" si="0"/>
        <v>0.20068612506117414</v>
      </c>
      <c r="J15" s="77">
        <f t="shared" si="0"/>
        <v>0.20068612506117414</v>
      </c>
      <c r="K15" s="77">
        <f t="shared" si="0"/>
        <v>0.20068612506117414</v>
      </c>
      <c r="L15" s="77">
        <f t="shared" si="0"/>
        <v>0.2503915632589323</v>
      </c>
      <c r="M15" s="77">
        <f t="shared" si="0"/>
        <v>0.20060963160353243</v>
      </c>
      <c r="N15" s="77">
        <f t="shared" si="0"/>
        <v>0.18298857537732949</v>
      </c>
      <c r="O15" s="77">
        <f t="shared" si="0"/>
        <v>0.17643481169769942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0.78400000000000003</v>
      </c>
      <c r="D2" s="78">
        <v>0.5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0.13</v>
      </c>
      <c r="D3" s="78">
        <v>0.223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8.6999999999999994E-2</v>
      </c>
      <c r="D4" s="78">
        <v>0.26899999999999996</v>
      </c>
      <c r="E4" s="78">
        <v>0.99</v>
      </c>
      <c r="F4" s="78">
        <v>0.75900000000000001</v>
      </c>
      <c r="G4" s="78">
        <v>0</v>
      </c>
    </row>
    <row r="5" spans="1:7" x14ac:dyDescent="0.25">
      <c r="B5" s="43" t="s">
        <v>169</v>
      </c>
      <c r="C5" s="77">
        <f>1-SUM(C2:C4)</f>
        <v>-1.0000000000001119E-3</v>
      </c>
      <c r="D5" s="77">
        <f t="shared" ref="D5:G5" si="0">1-SUM(D2:D4)</f>
        <v>8.0000000000000071E-3</v>
      </c>
      <c r="E5" s="77">
        <f t="shared" si="0"/>
        <v>1.0000000000000009E-2</v>
      </c>
      <c r="F5" s="77">
        <f t="shared" si="0"/>
        <v>0.24099999999999999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zoomScale="115" zoomScaleNormal="115" workbookViewId="0">
      <selection activeCell="C6" sqref="C6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3" x14ac:dyDescent="0.25">
      <c r="A2" t="s">
        <v>139</v>
      </c>
      <c r="B2" s="14" t="s">
        <v>143</v>
      </c>
      <c r="C2" s="28">
        <v>0.17401</v>
      </c>
      <c r="D2" s="28">
        <v>0.16686000000000001</v>
      </c>
      <c r="E2" s="28">
        <v>0.16011</v>
      </c>
      <c r="F2" s="28">
        <v>0.15362000000000001</v>
      </c>
      <c r="G2" s="28">
        <v>0.14739000000000002</v>
      </c>
      <c r="H2" s="28">
        <v>0.14141000000000001</v>
      </c>
      <c r="I2" s="28">
        <v>0.13568</v>
      </c>
      <c r="J2" s="28">
        <v>0.13021000000000002</v>
      </c>
      <c r="K2" s="28">
        <v>0.12499</v>
      </c>
      <c r="L2">
        <v>0.12000999999999999</v>
      </c>
      <c r="M2">
        <v>0.11526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6.2210000000000001E-2</v>
      </c>
      <c r="D4" s="28">
        <v>6.0690000000000001E-2</v>
      </c>
      <c r="E4" s="28">
        <v>5.9109999999999996E-2</v>
      </c>
      <c r="F4" s="28">
        <v>5.7569999999999996E-2</v>
      </c>
      <c r="G4" s="28">
        <v>5.6100000000000004E-2</v>
      </c>
      <c r="H4" s="28">
        <v>5.4669999999999996E-2</v>
      </c>
      <c r="I4" s="28">
        <v>5.33E-2</v>
      </c>
      <c r="J4" s="28">
        <v>5.1980000000000005E-2</v>
      </c>
      <c r="K4" s="28">
        <v>5.0709999999999998E-2</v>
      </c>
      <c r="L4">
        <v>4.947E-2</v>
      </c>
      <c r="M4">
        <v>4.8259999999999997E-2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>
        <f>'Nutritional status distribution'!E14</f>
        <v>0.75075595181599997</v>
      </c>
      <c r="D6" s="28"/>
      <c r="E6" s="28"/>
      <c r="F6" s="28"/>
      <c r="G6" s="28"/>
      <c r="H6" s="28"/>
      <c r="I6" s="28"/>
      <c r="J6" s="28"/>
      <c r="K6" s="28"/>
    </row>
    <row r="7" spans="1:13" x14ac:dyDescent="0.25">
      <c r="B7" s="14" t="s">
        <v>32</v>
      </c>
      <c r="C7" s="28">
        <f>'Nutritional status distribution'!H14</f>
        <v>0.54299999999999993</v>
      </c>
      <c r="D7" s="28"/>
      <c r="E7" s="28"/>
      <c r="F7" s="28"/>
      <c r="G7" s="28"/>
      <c r="H7" s="28"/>
      <c r="I7" s="28"/>
      <c r="J7" s="28"/>
      <c r="K7" s="28"/>
    </row>
    <row r="8" spans="1:13" x14ac:dyDescent="0.25">
      <c r="B8" s="14" t="s">
        <v>144</v>
      </c>
      <c r="C8" s="28">
        <f>'Nutritional status distribution'!L14</f>
        <v>0.67748888373900007</v>
      </c>
      <c r="D8" s="28"/>
      <c r="E8" s="28"/>
      <c r="F8" s="28"/>
      <c r="G8" s="28"/>
      <c r="H8" s="28"/>
      <c r="I8" s="28"/>
      <c r="J8" s="28"/>
      <c r="K8" s="28"/>
    </row>
    <row r="10" spans="1:13" x14ac:dyDescent="0.25">
      <c r="A10" t="s">
        <v>142</v>
      </c>
      <c r="B10" s="16" t="s">
        <v>147</v>
      </c>
      <c r="C10" s="28">
        <f>SUM('Breastfeeding distribution'!D2)</f>
        <v>0.5</v>
      </c>
      <c r="D10" s="28"/>
      <c r="E10" s="28"/>
      <c r="F10" s="28"/>
      <c r="G10" s="28"/>
      <c r="H10" s="28"/>
      <c r="I10" s="28"/>
      <c r="J10" s="28"/>
      <c r="K10" s="28"/>
    </row>
    <row r="11" spans="1:13" x14ac:dyDescent="0.25">
      <c r="B11" s="34" t="s">
        <v>146</v>
      </c>
      <c r="C11" s="28">
        <f>'Breastfeeding distribution'!F4</f>
        <v>0.75900000000000001</v>
      </c>
      <c r="D11" s="28"/>
      <c r="E11" s="28"/>
      <c r="F11" s="28"/>
      <c r="G11" s="28"/>
      <c r="H11" s="28"/>
      <c r="I11" s="28"/>
      <c r="J11" s="28"/>
      <c r="K11" s="28"/>
    </row>
    <row r="13" spans="1:13" x14ac:dyDescent="0.25">
      <c r="A13" s="12" t="s">
        <v>74</v>
      </c>
      <c r="B13" s="34" t="s">
        <v>148</v>
      </c>
      <c r="C13" s="145">
        <v>49.113999999999997</v>
      </c>
      <c r="D13" s="28">
        <v>47.203000000000003</v>
      </c>
      <c r="E13" s="28">
        <v>45.401000000000003</v>
      </c>
      <c r="F13" s="28">
        <v>43.680999999999997</v>
      </c>
      <c r="G13" s="28">
        <v>42.072000000000003</v>
      </c>
      <c r="H13" s="28">
        <v>40.555999999999997</v>
      </c>
      <c r="I13" s="28">
        <v>39.115000000000002</v>
      </c>
      <c r="J13" s="28">
        <v>37.738</v>
      </c>
      <c r="K13" s="28">
        <v>36.415999999999997</v>
      </c>
      <c r="L13">
        <v>35.156999999999996</v>
      </c>
      <c r="M13">
        <v>33.959000000000003</v>
      </c>
    </row>
    <row r="14" spans="1:13" x14ac:dyDescent="0.25">
      <c r="B14" s="16" t="s">
        <v>170</v>
      </c>
      <c r="C14" s="145">
        <f>maternal_mortality</f>
        <v>3.19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4" zoomScale="106" workbookViewId="0">
      <selection activeCell="D37" sqref="D37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41.250418745167224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42.596134754200222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151.34610343274488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0.49482675252861508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1.1733361962107891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1.1733361962107891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1.1733361962107891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1.1733361962107891</v>
      </c>
      <c r="E13" s="86" t="s">
        <v>201</v>
      </c>
    </row>
    <row r="14" spans="1:5" ht="15.75" customHeight="1" x14ac:dyDescent="0.25">
      <c r="A14" s="11" t="s">
        <v>189</v>
      </c>
      <c r="B14" s="85">
        <v>0.59399999999999997</v>
      </c>
      <c r="C14" s="85">
        <v>0.95</v>
      </c>
      <c r="D14" s="86">
        <v>13.613846654220817</v>
      </c>
      <c r="E14" s="86" t="s">
        <v>201</v>
      </c>
    </row>
    <row r="15" spans="1:5" ht="15.75" customHeight="1" x14ac:dyDescent="0.25">
      <c r="A15" s="11" t="s">
        <v>206</v>
      </c>
      <c r="B15" s="85">
        <v>0.59399999999999997</v>
      </c>
      <c r="C15" s="85">
        <v>0.95</v>
      </c>
      <c r="D15" s="86">
        <v>13.613846654220817</v>
      </c>
      <c r="E15" s="86" t="s">
        <v>201</v>
      </c>
    </row>
    <row r="16" spans="1:5" ht="15.75" customHeight="1" x14ac:dyDescent="0.25">
      <c r="A16" s="53" t="s">
        <v>57</v>
      </c>
      <c r="B16" s="85">
        <v>0.78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0.35308348420754665</v>
      </c>
      <c r="E17" s="86" t="s">
        <v>201</v>
      </c>
    </row>
    <row r="18" spans="1:5" ht="15.75" customHeight="1" x14ac:dyDescent="0.25">
      <c r="A18" s="53" t="s">
        <v>175</v>
      </c>
      <c r="B18" s="85">
        <v>0.28100000000000003</v>
      </c>
      <c r="C18" s="85">
        <v>0.95</v>
      </c>
      <c r="D18" s="86">
        <v>3.5682446626093935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4.104467765934162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23.27165885855867</v>
      </c>
      <c r="E22" s="86" t="s">
        <v>201</v>
      </c>
    </row>
    <row r="23" spans="1:5" ht="15.75" customHeight="1" x14ac:dyDescent="0.25">
      <c r="A23" s="53" t="s">
        <v>34</v>
      </c>
      <c r="B23" s="85">
        <v>0.73</v>
      </c>
      <c r="C23" s="85">
        <v>0.95</v>
      </c>
      <c r="D23" s="86">
        <v>4.5073761426825563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19.612160242111926</v>
      </c>
      <c r="E24" s="86" t="s">
        <v>201</v>
      </c>
    </row>
    <row r="25" spans="1:5" ht="15.75" customHeight="1" x14ac:dyDescent="0.25">
      <c r="A25" s="53" t="s">
        <v>87</v>
      </c>
      <c r="B25" s="85">
        <v>0.66299999999999992</v>
      </c>
      <c r="C25" s="85">
        <v>0.95</v>
      </c>
      <c r="D25" s="86">
        <v>19.613000253105376</v>
      </c>
      <c r="E25" s="86" t="s">
        <v>201</v>
      </c>
    </row>
    <row r="26" spans="1:5" ht="15.75" customHeight="1" x14ac:dyDescent="0.25">
      <c r="A26" s="53" t="s">
        <v>137</v>
      </c>
      <c r="B26" s="85">
        <v>0.59399999999999997</v>
      </c>
      <c r="C26" s="85">
        <v>0.95</v>
      </c>
      <c r="D26" s="86">
        <v>4.6792476246096184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4.7588179413974023</v>
      </c>
      <c r="E27" s="86" t="s">
        <v>201</v>
      </c>
    </row>
    <row r="28" spans="1:5" ht="15.75" customHeight="1" x14ac:dyDescent="0.25">
      <c r="A28" s="53" t="s">
        <v>84</v>
      </c>
      <c r="B28" s="85">
        <v>0.48599999999999999</v>
      </c>
      <c r="C28" s="85">
        <v>0.95</v>
      </c>
      <c r="D28" s="86">
        <v>0.68206940883907508</v>
      </c>
      <c r="E28" s="86" t="s">
        <v>201</v>
      </c>
    </row>
    <row r="29" spans="1:5" ht="15.75" customHeight="1" x14ac:dyDescent="0.25">
      <c r="A29" s="53" t="s">
        <v>58</v>
      </c>
      <c r="B29" s="85">
        <v>0.28100000000000003</v>
      </c>
      <c r="C29" s="85">
        <v>0.95</v>
      </c>
      <c r="D29" s="86">
        <v>75.352499155981278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173.6982053584731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173.6982053584731</v>
      </c>
      <c r="E31" s="86" t="s">
        <v>201</v>
      </c>
    </row>
    <row r="32" spans="1:5" ht="15.75" customHeight="1" x14ac:dyDescent="0.25">
      <c r="A32" s="53" t="s">
        <v>28</v>
      </c>
      <c r="B32" s="85">
        <v>0.33</v>
      </c>
      <c r="C32" s="85">
        <v>0.95</v>
      </c>
      <c r="D32" s="86">
        <v>0.71468953462406237</v>
      </c>
      <c r="E32" s="86" t="s">
        <v>201</v>
      </c>
    </row>
    <row r="33" spans="1:6" ht="15.75" customHeight="1" x14ac:dyDescent="0.25">
      <c r="A33" s="53" t="s">
        <v>83</v>
      </c>
      <c r="B33" s="85">
        <v>0.39500000000000002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0.4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0.14899999999999999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0.88700000000000001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0.18899999999999997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7.400000000000001E-2</v>
      </c>
      <c r="C38" s="85">
        <v>0.95</v>
      </c>
      <c r="D38" s="86">
        <v>1.8942218923259941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0.73747416447091041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2020-07-03T01:35:08Z</dcterms:modified>
</cp:coreProperties>
</file>