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AB5CEA31-3456-4CE5-9B61-5F2D01EBA81D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A39" i="2"/>
  <c r="H38" i="2"/>
  <c r="G38" i="2"/>
  <c r="I38" i="2" s="1"/>
  <c r="A34" i="2"/>
  <c r="A33" i="2"/>
  <c r="A26" i="2"/>
  <c r="A25" i="2"/>
  <c r="A17" i="2"/>
  <c r="A15" i="2"/>
  <c r="H11" i="2"/>
  <c r="G11" i="2"/>
  <c r="H10" i="2"/>
  <c r="I10" i="2" s="1"/>
  <c r="G10" i="2"/>
  <c r="H9" i="2"/>
  <c r="G9" i="2"/>
  <c r="I9" i="2" s="1"/>
  <c r="I8" i="2"/>
  <c r="H8" i="2"/>
  <c r="G8" i="2"/>
  <c r="H7" i="2"/>
  <c r="G7" i="2"/>
  <c r="I7" i="2" s="1"/>
  <c r="H6" i="2"/>
  <c r="G6" i="2"/>
  <c r="I6" i="2" s="1"/>
  <c r="H5" i="2"/>
  <c r="G5" i="2"/>
  <c r="H4" i="2"/>
  <c r="G4" i="2"/>
  <c r="I4" i="2" s="1"/>
  <c r="H3" i="2"/>
  <c r="G3" i="2"/>
  <c r="I3" i="2" s="1"/>
  <c r="H2" i="2"/>
  <c r="I2" i="2" s="1"/>
  <c r="G2" i="2"/>
  <c r="A2" i="2"/>
  <c r="A32" i="2" s="1"/>
  <c r="C33" i="1"/>
  <c r="C20" i="1"/>
  <c r="I5" i="2" l="1"/>
  <c r="A18" i="2"/>
  <c r="A23" i="2"/>
  <c r="I11" i="2"/>
  <c r="A31" i="2"/>
  <c r="I39" i="2"/>
  <c r="A19" i="2"/>
  <c r="A27" i="2"/>
  <c r="A35" i="2"/>
  <c r="A12" i="2"/>
  <c r="A20" i="2"/>
  <c r="A36" i="2"/>
  <c r="A13" i="2"/>
  <c r="A28" i="2"/>
  <c r="A21" i="2"/>
  <c r="A29" i="2"/>
  <c r="A37" i="2"/>
  <c r="A14" i="2"/>
  <c r="A22" i="2"/>
  <c r="A30" i="2"/>
  <c r="A38" i="2"/>
  <c r="A40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<sst xmlns="http://schemas.openxmlformats.org/spreadsheetml/2006/main" count="2092" uniqueCount="341">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</sst>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204776.685546875</v>
      </c>
    </row>
    <row r="8" spans="1:3" ht="15" customHeight="1" x14ac:dyDescent="0.2">
      <c r="B8" s="7" t="s">
        <v>8</v>
      </c>
      <c r="C8" s="46">
        <v>0.17699999999999999</v>
      </c>
    </row>
    <row r="9" spans="1:3" ht="15" customHeight="1" x14ac:dyDescent="0.2">
      <c r="B9" s="7" t="s">
        <v>9</v>
      </c>
      <c r="C9" s="47">
        <v>0.97</v>
      </c>
    </row>
    <row r="10" spans="1:3" ht="15" customHeight="1" x14ac:dyDescent="0.2">
      <c r="B10" s="7" t="s">
        <v>10</v>
      </c>
      <c r="C10" s="47">
        <v>0.32603321079999997</v>
      </c>
    </row>
    <row r="11" spans="1:3" ht="15" customHeight="1" x14ac:dyDescent="0.2">
      <c r="B11" s="7" t="s">
        <v>11</v>
      </c>
      <c r="C11" s="46">
        <v>0.66900000000000004</v>
      </c>
    </row>
    <row r="12" spans="1:3" ht="15" customHeight="1" x14ac:dyDescent="0.2">
      <c r="B12" s="7" t="s">
        <v>12</v>
      </c>
      <c r="C12" s="46">
        <v>0.54299999999999993</v>
      </c>
    </row>
    <row r="13" spans="1:3" ht="15" customHeight="1" x14ac:dyDescent="0.2">
      <c r="B13" s="7" t="s">
        <v>13</v>
      </c>
      <c r="C13" s="46">
        <v>0.79500000000000004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0.17019999999999999</v>
      </c>
    </row>
    <row r="24" spans="1:3" ht="15" customHeight="1" x14ac:dyDescent="0.2">
      <c r="B24" s="12" t="s">
        <v>22</v>
      </c>
      <c r="C24" s="47">
        <v>0.45119999999999999</v>
      </c>
    </row>
    <row r="25" spans="1:3" ht="15" customHeight="1" x14ac:dyDescent="0.2">
      <c r="B25" s="12" t="s">
        <v>23</v>
      </c>
      <c r="C25" s="47">
        <v>0.29249999999999998</v>
      </c>
    </row>
    <row r="26" spans="1:3" ht="15" customHeight="1" x14ac:dyDescent="0.2">
      <c r="B26" s="12" t="s">
        <v>24</v>
      </c>
      <c r="C26" s="47">
        <v>8.6099999999999996E-2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0.19700000000000001</v>
      </c>
    </row>
    <row r="30" spans="1:3" ht="14.25" customHeight="1" x14ac:dyDescent="0.2">
      <c r="B30" s="22" t="s">
        <v>27</v>
      </c>
      <c r="C30" s="49">
        <v>5.4000000000000013E-2</v>
      </c>
    </row>
    <row r="31" spans="1:3" ht="14.25" customHeight="1" x14ac:dyDescent="0.2">
      <c r="B31" s="22" t="s">
        <v>28</v>
      </c>
      <c r="C31" s="49">
        <v>0.128</v>
      </c>
    </row>
    <row r="32" spans="1:3" ht="14.25" customHeight="1" x14ac:dyDescent="0.2">
      <c r="B32" s="22" t="s">
        <v>29</v>
      </c>
      <c r="C32" s="49">
        <v>0.621</v>
      </c>
    </row>
    <row r="33" spans="1:5" ht="13.15" customHeight="1" x14ac:dyDescent="0.2">
      <c r="B33" s="24" t="s">
        <v>30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29.005217026656702</v>
      </c>
    </row>
    <row r="38" spans="1:5" ht="15" customHeight="1" x14ac:dyDescent="0.2">
      <c r="B38" s="28" t="s">
        <v>34</v>
      </c>
      <c r="C38" s="117">
        <v>60.412524959319803</v>
      </c>
      <c r="D38" s="9"/>
      <c r="E38" s="10"/>
    </row>
    <row r="39" spans="1:5" ht="15" customHeight="1" x14ac:dyDescent="0.2">
      <c r="B39" s="28" t="s">
        <v>35</v>
      </c>
      <c r="C39" s="117">
        <v>81.846654138467002</v>
      </c>
      <c r="D39" s="9"/>
      <c r="E39" s="9"/>
    </row>
    <row r="40" spans="1:5" ht="15" customHeight="1" x14ac:dyDescent="0.2">
      <c r="B40" s="28" t="s">
        <v>36</v>
      </c>
      <c r="C40" s="117">
        <v>301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15.07910517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2.6140900000000002E-2</v>
      </c>
      <c r="D45" s="9"/>
    </row>
    <row r="46" spans="1:5" ht="15.75" customHeight="1" x14ac:dyDescent="0.2">
      <c r="B46" s="28" t="s">
        <v>41</v>
      </c>
      <c r="C46" s="47">
        <v>0.1385284</v>
      </c>
      <c r="D46" s="9"/>
    </row>
    <row r="47" spans="1:5" ht="15.75" customHeight="1" x14ac:dyDescent="0.2">
      <c r="B47" s="28" t="s">
        <v>42</v>
      </c>
      <c r="C47" s="47">
        <v>0.22865260000000001</v>
      </c>
      <c r="D47" s="9"/>
      <c r="E47" s="10"/>
    </row>
    <row r="48" spans="1:5" ht="15" customHeight="1" x14ac:dyDescent="0.2">
      <c r="B48" s="28" t="s">
        <v>43</v>
      </c>
      <c r="C48" s="48">
        <v>0.6066781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3.3</v>
      </c>
      <c r="D51" s="9"/>
    </row>
    <row r="52" spans="1:4" ht="15" customHeight="1" x14ac:dyDescent="0.2">
      <c r="B52" s="28" t="s">
        <v>46</v>
      </c>
      <c r="C52" s="51">
        <v>3.3</v>
      </c>
    </row>
    <row r="53" spans="1:4" ht="15.75" customHeight="1" x14ac:dyDescent="0.2">
      <c r="B53" s="28" t="s">
        <v>47</v>
      </c>
      <c r="C53" s="51">
        <v>3.3</v>
      </c>
    </row>
    <row r="54" spans="1:4" ht="15.75" customHeight="1" x14ac:dyDescent="0.2">
      <c r="B54" s="28" t="s">
        <v>48</v>
      </c>
      <c r="C54" s="51">
        <v>3.3</v>
      </c>
    </row>
    <row r="55" spans="1:4" ht="15.75" customHeight="1" x14ac:dyDescent="0.2">
      <c r="B55" s="28" t="s">
        <v>49</v>
      </c>
      <c r="C55" s="51">
        <v>3.3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2.1937842778793421E-2</v>
      </c>
    </row>
    <row r="59" spans="1:4" ht="15.75" customHeight="1" x14ac:dyDescent="0.2">
      <c r="B59" s="28" t="s">
        <v>52</v>
      </c>
      <c r="C59" s="46">
        <v>0.43857557971001709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14.6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0.16069834920000001</v>
      </c>
      <c r="C2" s="115">
        <v>0.95</v>
      </c>
      <c r="D2" s="116">
        <v>87.391752012908441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40.53825169220913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874.73534732467272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0.93694880533897928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13.67055113600504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13.67055113600504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13.67055113600504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13.67055113600504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13.67055113600504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13.67055113600504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0.27600000000000002</v>
      </c>
      <c r="C16" s="115">
        <v>0.95</v>
      </c>
      <c r="D16" s="116">
        <v>1.3773362239396929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0.40699999999999997</v>
      </c>
      <c r="C18" s="115">
        <v>0.95</v>
      </c>
      <c r="D18" s="116">
        <v>20.02723308412703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0.40699999999999997</v>
      </c>
      <c r="C19" s="115">
        <v>0.95</v>
      </c>
      <c r="D19" s="116">
        <v>20.02723308412703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0.67299999999999993</v>
      </c>
      <c r="C21" s="115">
        <v>0.95</v>
      </c>
      <c r="D21" s="116">
        <v>10.32305644607259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23.936202886472088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4.6908199698568867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0.50361942729999998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8.6999999999999994E-2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19.219496467459528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2E-3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0.40699999999999997</v>
      </c>
      <c r="C29" s="115">
        <v>0.95</v>
      </c>
      <c r="D29" s="116">
        <v>180.6631632031546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1.304771366326084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3.0250294891780638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0.63700000000000001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0.40781970143219798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0.246399682062548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6.1461020173279026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0.66312790021524293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">
      <c r="A3" s="4" t="s">
        <v>204</v>
      </c>
      <c r="B3" s="18">
        <f>frac_mam_1month * 2.6</f>
        <v>0.19372297874347755</v>
      </c>
      <c r="C3" s="18">
        <f>frac_mam_1_5months * 2.6</f>
        <v>0.19372297874347755</v>
      </c>
      <c r="D3" s="18">
        <f>frac_mam_6_11months * 2.6</f>
        <v>0.27618170427677441</v>
      </c>
      <c r="E3" s="18">
        <f>frac_mam_12_23months * 2.6</f>
        <v>0.22045132160407122</v>
      </c>
      <c r="F3" s="18">
        <f>frac_mam_24_59months * 2.6</f>
        <v>0.12275080651566304</v>
      </c>
    </row>
    <row r="4" spans="1:6" ht="15.75" customHeight="1" x14ac:dyDescent="0.2">
      <c r="A4" s="4" t="s">
        <v>205</v>
      </c>
      <c r="B4" s="18">
        <f>frac_sam_1month * 2.6</f>
        <v>0.12945086201981754</v>
      </c>
      <c r="C4" s="18">
        <f>frac_sam_1_5months * 2.6</f>
        <v>0.12945086201981754</v>
      </c>
      <c r="D4" s="18">
        <f>frac_sam_6_11months * 2.6</f>
        <v>0.14373957704470494</v>
      </c>
      <c r="E4" s="18">
        <f>frac_sam_12_23months * 2.6</f>
        <v>0.11181692882896849</v>
      </c>
      <c r="F4" s="18">
        <f>frac_sam_24_59months * 2.6</f>
        <v>5.4633652019969628E-2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0.17699999999999999</v>
      </c>
      <c r="E2" s="65">
        <f>food_insecure</f>
        <v>0.17699999999999999</v>
      </c>
      <c r="F2" s="65">
        <f>food_insecure</f>
        <v>0.17699999999999999</v>
      </c>
      <c r="G2" s="65">
        <f>food_insecure</f>
        <v>0.17699999999999999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0.17699999999999999</v>
      </c>
      <c r="F5" s="65">
        <f>food_insecure</f>
        <v>0.17699999999999999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0.17699999999999999</v>
      </c>
      <c r="F8" s="65">
        <f>food_insecure</f>
        <v>0.17699999999999999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0.17699999999999999</v>
      </c>
      <c r="F9" s="65">
        <f>food_insecure</f>
        <v>0.17699999999999999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0.54299999999999993</v>
      </c>
      <c r="E10" s="65">
        <f>IF(ISBLANK(comm_deliv), frac_children_health_facility,1)</f>
        <v>0.54299999999999993</v>
      </c>
      <c r="F10" s="65">
        <f>IF(ISBLANK(comm_deliv), frac_children_health_facility,1)</f>
        <v>0.54299999999999993</v>
      </c>
      <c r="G10" s="65">
        <f>IF(ISBLANK(comm_deliv), frac_children_health_facility,1)</f>
        <v>0.54299999999999993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0.17699999999999999</v>
      </c>
      <c r="I15" s="65">
        <f>food_insecure</f>
        <v>0.17699999999999999</v>
      </c>
      <c r="J15" s="65">
        <f>food_insecure</f>
        <v>0.17699999999999999</v>
      </c>
      <c r="K15" s="65">
        <f>food_insecure</f>
        <v>0.17699999999999999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0.66900000000000004</v>
      </c>
      <c r="I18" s="65">
        <f>frac_PW_health_facility</f>
        <v>0.66900000000000004</v>
      </c>
      <c r="J18" s="65">
        <f>frac_PW_health_facility</f>
        <v>0.66900000000000004</v>
      </c>
      <c r="K18" s="65">
        <f>frac_PW_health_facility</f>
        <v>0.66900000000000004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0.97</v>
      </c>
      <c r="I19" s="65">
        <f>frac_malaria_risk</f>
        <v>0.97</v>
      </c>
      <c r="J19" s="65">
        <f>frac_malaria_risk</f>
        <v>0.97</v>
      </c>
      <c r="K19" s="65">
        <f>frac_malaria_risk</f>
        <v>0.97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0.79500000000000004</v>
      </c>
      <c r="M24" s="65">
        <f>famplan_unmet_need</f>
        <v>0.79500000000000004</v>
      </c>
      <c r="N24" s="65">
        <f>famplan_unmet_need</f>
        <v>0.79500000000000004</v>
      </c>
      <c r="O24" s="65">
        <f>famplan_unmet_need</f>
        <v>0.79500000000000004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0.35529507226256396</v>
      </c>
      <c r="M25" s="65">
        <f>(1-food_insecure)*(0.49)+food_insecure*(0.7)</f>
        <v>0.52716999999999992</v>
      </c>
      <c r="N25" s="65">
        <f>(1-food_insecure)*(0.49)+food_insecure*(0.7)</f>
        <v>0.52716999999999992</v>
      </c>
      <c r="O25" s="65">
        <f>(1-food_insecure)*(0.49)+food_insecure*(0.7)</f>
        <v>0.52716999999999992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0.15226931668395599</v>
      </c>
      <c r="M26" s="65">
        <f>(1-food_insecure)*(0.21)+food_insecure*(0.3)</f>
        <v>0.22592999999999996</v>
      </c>
      <c r="N26" s="65">
        <f>(1-food_insecure)*(0.21)+food_insecure*(0.3)</f>
        <v>0.22592999999999996</v>
      </c>
      <c r="O26" s="65">
        <f>(1-food_insecure)*(0.21)+food_insecure*(0.3)</f>
        <v>0.22592999999999996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0.16640240025348002</v>
      </c>
      <c r="M27" s="65">
        <f>(1-food_insecure)*(0.3)</f>
        <v>0.24689999999999998</v>
      </c>
      <c r="N27" s="65">
        <f>(1-food_insecure)*(0.3)</f>
        <v>0.24689999999999998</v>
      </c>
      <c r="O27" s="65">
        <f>(1-food_insecure)*(0.3)</f>
        <v>0.24689999999999998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0.32603321079999997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0.97</v>
      </c>
      <c r="D34" s="65">
        <f t="shared" si="3"/>
        <v>0.97</v>
      </c>
      <c r="E34" s="65">
        <f t="shared" si="3"/>
        <v>0.97</v>
      </c>
      <c r="F34" s="65">
        <f t="shared" si="3"/>
        <v>0.97</v>
      </c>
      <c r="G34" s="65">
        <f t="shared" si="3"/>
        <v>0.97</v>
      </c>
      <c r="H34" s="65">
        <f t="shared" si="3"/>
        <v>0.97</v>
      </c>
      <c r="I34" s="65">
        <f t="shared" si="3"/>
        <v>0.97</v>
      </c>
      <c r="J34" s="65">
        <f t="shared" si="3"/>
        <v>0.97</v>
      </c>
      <c r="K34" s="65">
        <f t="shared" si="3"/>
        <v>0.97</v>
      </c>
      <c r="L34" s="65">
        <f t="shared" si="3"/>
        <v>0.97</v>
      </c>
      <c r="M34" s="65">
        <f t="shared" si="3"/>
        <v>0.97</v>
      </c>
      <c r="N34" s="65">
        <f t="shared" si="3"/>
        <v>0.97</v>
      </c>
      <c r="O34" s="65">
        <f t="shared" si="3"/>
        <v>0.97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46241.553599999992</v>
      </c>
      <c r="C2" s="53">
        <v>63000</v>
      </c>
      <c r="D2" s="53">
        <v>117000</v>
      </c>
      <c r="E2" s="53">
        <v>93000</v>
      </c>
      <c r="F2" s="53">
        <v>47000</v>
      </c>
      <c r="G2" s="14">
        <f t="shared" ref="G2:G11" si="0">C2+D2+E2+F2</f>
        <v>320000</v>
      </c>
      <c r="H2" s="14">
        <f t="shared" ref="H2:H11" si="1">(B2 + stillbirth*B2/(1000-stillbirth))/(1-abortion)</f>
        <v>49213.323062910044</v>
      </c>
      <c r="I2" s="14">
        <f t="shared" ref="I2:I11" si="2">G2-H2</f>
        <v>270786.67693708994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47101.014799999997</v>
      </c>
      <c r="C3" s="53">
        <v>67000</v>
      </c>
      <c r="D3" s="53">
        <v>121000</v>
      </c>
      <c r="E3" s="53">
        <v>96000</v>
      </c>
      <c r="F3" s="53">
        <v>48000</v>
      </c>
      <c r="G3" s="14">
        <f t="shared" si="0"/>
        <v>332000</v>
      </c>
      <c r="H3" s="14">
        <f t="shared" si="1"/>
        <v>50128.018578149757</v>
      </c>
      <c r="I3" s="14">
        <f t="shared" si="2"/>
        <v>281871.98142185027</v>
      </c>
    </row>
    <row r="4" spans="1:9" ht="15.75" customHeight="1" x14ac:dyDescent="0.2">
      <c r="A4" s="7">
        <f t="shared" si="3"/>
        <v>2023</v>
      </c>
      <c r="B4" s="52">
        <v>47923.289599999996</v>
      </c>
      <c r="C4" s="53">
        <v>70000</v>
      </c>
      <c r="D4" s="53">
        <v>125000</v>
      </c>
      <c r="E4" s="53">
        <v>99000</v>
      </c>
      <c r="F4" s="53">
        <v>49000</v>
      </c>
      <c r="G4" s="14">
        <f t="shared" si="0"/>
        <v>343000</v>
      </c>
      <c r="H4" s="14">
        <f t="shared" si="1"/>
        <v>51003.137864342803</v>
      </c>
      <c r="I4" s="14">
        <f t="shared" si="2"/>
        <v>291996.86213565723</v>
      </c>
    </row>
    <row r="5" spans="1:9" ht="15.75" customHeight="1" x14ac:dyDescent="0.2">
      <c r="A5" s="7">
        <f t="shared" si="3"/>
        <v>2024</v>
      </c>
      <c r="B5" s="52">
        <v>48708.377999999997</v>
      </c>
      <c r="C5" s="53">
        <v>73000</v>
      </c>
      <c r="D5" s="53">
        <v>131000</v>
      </c>
      <c r="E5" s="53">
        <v>103000</v>
      </c>
      <c r="F5" s="53">
        <v>50000</v>
      </c>
      <c r="G5" s="14">
        <f t="shared" si="0"/>
        <v>357000</v>
      </c>
      <c r="H5" s="14">
        <f t="shared" si="1"/>
        <v>51838.680921489206</v>
      </c>
      <c r="I5" s="14">
        <f t="shared" si="2"/>
        <v>305161.3190785108</v>
      </c>
    </row>
    <row r="6" spans="1:9" ht="15.75" customHeight="1" x14ac:dyDescent="0.2">
      <c r="A6" s="7">
        <f t="shared" si="3"/>
        <v>2025</v>
      </c>
      <c r="B6" s="52">
        <v>49486.51</v>
      </c>
      <c r="C6" s="53">
        <v>76000</v>
      </c>
      <c r="D6" s="53">
        <v>136000</v>
      </c>
      <c r="E6" s="53">
        <v>107000</v>
      </c>
      <c r="F6" s="53">
        <v>53000</v>
      </c>
      <c r="G6" s="14">
        <f t="shared" si="0"/>
        <v>372000</v>
      </c>
      <c r="H6" s="14">
        <f t="shared" si="1"/>
        <v>52666.820517162058</v>
      </c>
      <c r="I6" s="14">
        <f t="shared" si="2"/>
        <v>319333.17948283796</v>
      </c>
    </row>
    <row r="7" spans="1:9" ht="15.75" customHeight="1" x14ac:dyDescent="0.2">
      <c r="A7" s="7">
        <f t="shared" si="3"/>
        <v>2026</v>
      </c>
      <c r="B7" s="52">
        <v>50181.001200000013</v>
      </c>
      <c r="C7" s="53">
        <v>78000</v>
      </c>
      <c r="D7" s="53">
        <v>139000</v>
      </c>
      <c r="E7" s="53">
        <v>110000</v>
      </c>
      <c r="F7" s="53">
        <v>56000</v>
      </c>
      <c r="G7" s="14">
        <f t="shared" si="0"/>
        <v>383000</v>
      </c>
      <c r="H7" s="14">
        <f t="shared" si="1"/>
        <v>53405.944035493609</v>
      </c>
      <c r="I7" s="14">
        <f t="shared" si="2"/>
        <v>329594.05596450641</v>
      </c>
    </row>
    <row r="8" spans="1:9" ht="15.75" customHeight="1" x14ac:dyDescent="0.2">
      <c r="A8" s="7">
        <f t="shared" si="3"/>
        <v>2027</v>
      </c>
      <c r="B8" s="52">
        <v>50866.843999999997</v>
      </c>
      <c r="C8" s="53">
        <v>81000</v>
      </c>
      <c r="D8" s="53">
        <v>143000</v>
      </c>
      <c r="E8" s="53">
        <v>113000</v>
      </c>
      <c r="F8" s="53">
        <v>59000</v>
      </c>
      <c r="G8" s="14">
        <f t="shared" si="0"/>
        <v>396000</v>
      </c>
      <c r="H8" s="14">
        <f t="shared" si="1"/>
        <v>54135.863353921734</v>
      </c>
      <c r="I8" s="14">
        <f t="shared" si="2"/>
        <v>341864.13664607826</v>
      </c>
    </row>
    <row r="9" spans="1:9" ht="15.75" customHeight="1" x14ac:dyDescent="0.2">
      <c r="A9" s="7">
        <f t="shared" si="3"/>
        <v>2028</v>
      </c>
      <c r="B9" s="52">
        <v>51513.808400000009</v>
      </c>
      <c r="C9" s="53">
        <v>83000</v>
      </c>
      <c r="D9" s="53">
        <v>148000</v>
      </c>
      <c r="E9" s="53">
        <v>116000</v>
      </c>
      <c r="F9" s="53">
        <v>63000</v>
      </c>
      <c r="G9" s="14">
        <f t="shared" si="0"/>
        <v>410000</v>
      </c>
      <c r="H9" s="14">
        <f t="shared" si="1"/>
        <v>54824.405704873418</v>
      </c>
      <c r="I9" s="14">
        <f t="shared" si="2"/>
        <v>355175.59429512656</v>
      </c>
    </row>
    <row r="10" spans="1:9" ht="15.75" customHeight="1" x14ac:dyDescent="0.2">
      <c r="A10" s="7">
        <f t="shared" si="3"/>
        <v>2029</v>
      </c>
      <c r="B10" s="52">
        <v>52121.894399999997</v>
      </c>
      <c r="C10" s="53">
        <v>86000</v>
      </c>
      <c r="D10" s="53">
        <v>153000</v>
      </c>
      <c r="E10" s="53">
        <v>120000</v>
      </c>
      <c r="F10" s="53">
        <v>67000</v>
      </c>
      <c r="G10" s="14">
        <f t="shared" si="0"/>
        <v>426000</v>
      </c>
      <c r="H10" s="14">
        <f t="shared" si="1"/>
        <v>55471.571088348603</v>
      </c>
      <c r="I10" s="14">
        <f t="shared" si="2"/>
        <v>370528.42891165137</v>
      </c>
    </row>
    <row r="11" spans="1:9" ht="15.75" customHeight="1" x14ac:dyDescent="0.2">
      <c r="A11" s="7">
        <f t="shared" si="3"/>
        <v>2030</v>
      </c>
      <c r="B11" s="52">
        <v>52691.101999999999</v>
      </c>
      <c r="C11" s="53">
        <v>88000</v>
      </c>
      <c r="D11" s="53">
        <v>157000</v>
      </c>
      <c r="E11" s="53">
        <v>124000</v>
      </c>
      <c r="F11" s="53">
        <v>70000</v>
      </c>
      <c r="G11" s="14">
        <f t="shared" si="0"/>
        <v>439000</v>
      </c>
      <c r="H11" s="14">
        <f t="shared" si="1"/>
        <v>56077.359504347318</v>
      </c>
      <c r="I11" s="14">
        <f t="shared" si="2"/>
        <v>382922.64049565268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1.0024559256756931E-2</v>
      </c>
    </row>
    <row r="4" spans="1:8" ht="15.75" customHeight="1" x14ac:dyDescent="0.2">
      <c r="B4" s="16" t="s">
        <v>69</v>
      </c>
      <c r="C4" s="54">
        <v>9.6679763631924334E-2</v>
      </c>
    </row>
    <row r="5" spans="1:8" ht="15.75" customHeight="1" x14ac:dyDescent="0.2">
      <c r="B5" s="16" t="s">
        <v>70</v>
      </c>
      <c r="C5" s="54">
        <v>7.2481780052522038E-2</v>
      </c>
    </row>
    <row r="6" spans="1:8" ht="15.75" customHeight="1" x14ac:dyDescent="0.2">
      <c r="B6" s="16" t="s">
        <v>71</v>
      </c>
      <c r="C6" s="54">
        <v>0.3070462971818726</v>
      </c>
    </row>
    <row r="7" spans="1:8" ht="15.75" customHeight="1" x14ac:dyDescent="0.2">
      <c r="B7" s="16" t="s">
        <v>72</v>
      </c>
      <c r="C7" s="54">
        <v>0.31418211522061812</v>
      </c>
    </row>
    <row r="8" spans="1:8" ht="15.75" customHeight="1" x14ac:dyDescent="0.2">
      <c r="B8" s="16" t="s">
        <v>73</v>
      </c>
      <c r="C8" s="54">
        <v>1.5948282635923398E-2</v>
      </c>
    </row>
    <row r="9" spans="1:8" ht="15.75" customHeight="1" x14ac:dyDescent="0.2">
      <c r="B9" s="16" t="s">
        <v>74</v>
      </c>
      <c r="C9" s="54">
        <v>7.9035157105624143E-2</v>
      </c>
    </row>
    <row r="10" spans="1:8" ht="15.75" customHeight="1" x14ac:dyDescent="0.2">
      <c r="B10" s="16" t="s">
        <v>75</v>
      </c>
      <c r="C10" s="54">
        <v>0.1046020449147585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9.095171912479158E-2</v>
      </c>
      <c r="D14" s="54">
        <v>9.095171912479158E-2</v>
      </c>
      <c r="E14" s="54">
        <v>9.095171912479158E-2</v>
      </c>
      <c r="F14" s="54">
        <v>9.095171912479158E-2</v>
      </c>
    </row>
    <row r="15" spans="1:8" ht="15.75" customHeight="1" x14ac:dyDescent="0.2">
      <c r="B15" s="16" t="s">
        <v>82</v>
      </c>
      <c r="C15" s="54">
        <v>0.1716411339211116</v>
      </c>
      <c r="D15" s="54">
        <v>0.1716411339211116</v>
      </c>
      <c r="E15" s="54">
        <v>0.1716411339211116</v>
      </c>
      <c r="F15" s="54">
        <v>0.1716411339211116</v>
      </c>
    </row>
    <row r="16" spans="1:8" ht="15.75" customHeight="1" x14ac:dyDescent="0.2">
      <c r="B16" s="16" t="s">
        <v>83</v>
      </c>
      <c r="C16" s="54">
        <v>1.4349124773716341E-2</v>
      </c>
      <c r="D16" s="54">
        <v>1.4349124773716341E-2</v>
      </c>
      <c r="E16" s="54">
        <v>1.4349124773716341E-2</v>
      </c>
      <c r="F16" s="54">
        <v>1.4349124773716341E-2</v>
      </c>
    </row>
    <row r="17" spans="1:8" ht="15.75" customHeight="1" x14ac:dyDescent="0.2">
      <c r="B17" s="16" t="s">
        <v>84</v>
      </c>
      <c r="C17" s="54">
        <v>2.9503336763921941E-2</v>
      </c>
      <c r="D17" s="54">
        <v>2.9503336763921941E-2</v>
      </c>
      <c r="E17" s="54">
        <v>2.9503336763921941E-2</v>
      </c>
      <c r="F17" s="54">
        <v>2.9503336763921941E-2</v>
      </c>
    </row>
    <row r="18" spans="1:8" ht="15.75" customHeight="1" x14ac:dyDescent="0.2">
      <c r="B18" s="16" t="s">
        <v>85</v>
      </c>
      <c r="C18" s="54">
        <v>0.2226016669960329</v>
      </c>
      <c r="D18" s="54">
        <v>0.2226016669960329</v>
      </c>
      <c r="E18" s="54">
        <v>0.2226016669960329</v>
      </c>
      <c r="F18" s="54">
        <v>0.2226016669960329</v>
      </c>
    </row>
    <row r="19" spans="1:8" ht="15.75" customHeight="1" x14ac:dyDescent="0.2">
      <c r="B19" s="16" t="s">
        <v>86</v>
      </c>
      <c r="C19" s="54">
        <v>1.7005759860645349E-2</v>
      </c>
      <c r="D19" s="54">
        <v>1.7005759860645349E-2</v>
      </c>
      <c r="E19" s="54">
        <v>1.7005759860645349E-2</v>
      </c>
      <c r="F19" s="54">
        <v>1.7005759860645349E-2</v>
      </c>
    </row>
    <row r="20" spans="1:8" ht="15.75" customHeight="1" x14ac:dyDescent="0.2">
      <c r="B20" s="16" t="s">
        <v>87</v>
      </c>
      <c r="C20" s="54">
        <v>0.205717150877298</v>
      </c>
      <c r="D20" s="54">
        <v>0.205717150877298</v>
      </c>
      <c r="E20" s="54">
        <v>0.205717150877298</v>
      </c>
      <c r="F20" s="54">
        <v>0.205717150877298</v>
      </c>
    </row>
    <row r="21" spans="1:8" ht="15.75" customHeight="1" x14ac:dyDescent="0.2">
      <c r="B21" s="16" t="s">
        <v>88</v>
      </c>
      <c r="C21" s="54">
        <v>4.973901332688601E-2</v>
      </c>
      <c r="D21" s="54">
        <v>4.973901332688601E-2</v>
      </c>
      <c r="E21" s="54">
        <v>4.973901332688601E-2</v>
      </c>
      <c r="F21" s="54">
        <v>4.973901332688601E-2</v>
      </c>
    </row>
    <row r="22" spans="1:8" ht="15.75" customHeight="1" x14ac:dyDescent="0.2">
      <c r="B22" s="16" t="s">
        <v>89</v>
      </c>
      <c r="C22" s="54">
        <v>0.19849109435559631</v>
      </c>
      <c r="D22" s="54">
        <v>0.19849109435559631</v>
      </c>
      <c r="E22" s="54">
        <v>0.19849109435559631</v>
      </c>
      <c r="F22" s="54">
        <v>0.19849109435559631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8.6899999999999991E-2</v>
      </c>
    </row>
    <row r="27" spans="1:8" ht="15.75" customHeight="1" x14ac:dyDescent="0.2">
      <c r="B27" s="16" t="s">
        <v>92</v>
      </c>
      <c r="C27" s="54">
        <v>8.5000000000000006E-3</v>
      </c>
    </row>
    <row r="28" spans="1:8" ht="15.75" customHeight="1" x14ac:dyDescent="0.2">
      <c r="B28" s="16" t="s">
        <v>93</v>
      </c>
      <c r="C28" s="54">
        <v>0.15290000000000001</v>
      </c>
    </row>
    <row r="29" spans="1:8" ht="15.75" customHeight="1" x14ac:dyDescent="0.2">
      <c r="B29" s="16" t="s">
        <v>94</v>
      </c>
      <c r="C29" s="54">
        <v>0.16600000000000001</v>
      </c>
    </row>
    <row r="30" spans="1:8" ht="15.75" customHeight="1" x14ac:dyDescent="0.2">
      <c r="B30" s="16" t="s">
        <v>95</v>
      </c>
      <c r="C30" s="54">
        <v>0.1057</v>
      </c>
    </row>
    <row r="31" spans="1:8" ht="15.75" customHeight="1" x14ac:dyDescent="0.2">
      <c r="B31" s="16" t="s">
        <v>96</v>
      </c>
      <c r="C31" s="54">
        <v>0.1085</v>
      </c>
    </row>
    <row r="32" spans="1:8" ht="15.75" customHeight="1" x14ac:dyDescent="0.2">
      <c r="B32" s="16" t="s">
        <v>97</v>
      </c>
      <c r="C32" s="54">
        <v>1.8499999999999999E-2</v>
      </c>
    </row>
    <row r="33" spans="2:3" ht="15.75" customHeight="1" x14ac:dyDescent="0.2">
      <c r="B33" s="16" t="s">
        <v>98</v>
      </c>
      <c r="C33" s="54">
        <v>8.3900000000000002E-2</v>
      </c>
    </row>
    <row r="34" spans="2:3" ht="15.75" customHeight="1" x14ac:dyDescent="0.2">
      <c r="B34" s="16" t="s">
        <v>99</v>
      </c>
      <c r="C34" s="54">
        <v>0.26910000000000001</v>
      </c>
    </row>
    <row r="35" spans="2:3" ht="15.75" customHeight="1" x14ac:dyDescent="0.2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0.66762560622730005</v>
      </c>
      <c r="D2" s="55">
        <v>0.66762560622730005</v>
      </c>
      <c r="E2" s="55">
        <v>0.59500372526799405</v>
      </c>
      <c r="F2" s="55">
        <v>0.38100949701634901</v>
      </c>
      <c r="G2" s="55">
        <v>0.34484494435970198</v>
      </c>
    </row>
    <row r="3" spans="1:15" ht="15.75" customHeight="1" x14ac:dyDescent="0.2">
      <c r="B3" s="7" t="s">
        <v>103</v>
      </c>
      <c r="C3" s="55">
        <v>0.18074881912020599</v>
      </c>
      <c r="D3" s="55">
        <v>0.18074881912020599</v>
      </c>
      <c r="E3" s="55">
        <v>0.218678200900393</v>
      </c>
      <c r="F3" s="55">
        <v>0.26947406453628497</v>
      </c>
      <c r="G3" s="55">
        <v>0.27324676782687402</v>
      </c>
    </row>
    <row r="4" spans="1:15" ht="15.75" customHeight="1" x14ac:dyDescent="0.2">
      <c r="B4" s="7" t="s">
        <v>104</v>
      </c>
      <c r="C4" s="56">
        <v>8.58190532050008E-2</v>
      </c>
      <c r="D4" s="56">
        <v>8.58190532050008E-2</v>
      </c>
      <c r="E4" s="56">
        <v>0.10849992686993</v>
      </c>
      <c r="F4" s="56">
        <v>0.196529120835613</v>
      </c>
      <c r="G4" s="56">
        <v>0.203917682529314</v>
      </c>
    </row>
    <row r="5" spans="1:15" ht="15.75" customHeight="1" x14ac:dyDescent="0.2">
      <c r="B5" s="7" t="s">
        <v>105</v>
      </c>
      <c r="C5" s="56">
        <v>6.5806520641967403E-2</v>
      </c>
      <c r="D5" s="56">
        <v>6.5806520641967403E-2</v>
      </c>
      <c r="E5" s="56">
        <v>7.7818143807935905E-2</v>
      </c>
      <c r="F5" s="56">
        <v>0.15298731887004799</v>
      </c>
      <c r="G5" s="56">
        <v>0.17799060439855399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0.71073279633790098</v>
      </c>
      <c r="D8" s="55">
        <v>0.71073279633790098</v>
      </c>
      <c r="E8" s="55">
        <v>0.61423573562775802</v>
      </c>
      <c r="F8" s="55">
        <v>0.65589780098569705</v>
      </c>
      <c r="G8" s="55">
        <v>0.76233278942657601</v>
      </c>
    </row>
    <row r="9" spans="1:15" ht="15.75" customHeight="1" x14ac:dyDescent="0.2">
      <c r="B9" s="7" t="s">
        <v>108</v>
      </c>
      <c r="C9" s="55">
        <v>0.164969570014246</v>
      </c>
      <c r="D9" s="55">
        <v>0.164969570014246</v>
      </c>
      <c r="E9" s="55">
        <v>0.22425607814307499</v>
      </c>
      <c r="F9" s="55">
        <v>0.216306716798184</v>
      </c>
      <c r="G9" s="55">
        <v>0.16944242158688899</v>
      </c>
    </row>
    <row r="10" spans="1:15" ht="15.75" customHeight="1" x14ac:dyDescent="0.2">
      <c r="B10" s="7" t="s">
        <v>109</v>
      </c>
      <c r="C10" s="56">
        <v>7.4508837978260592E-2</v>
      </c>
      <c r="D10" s="56">
        <v>7.4508837978260592E-2</v>
      </c>
      <c r="E10" s="56">
        <v>0.106223732414144</v>
      </c>
      <c r="F10" s="56">
        <v>8.4788969847719692E-2</v>
      </c>
      <c r="G10" s="56">
        <v>4.7211848659870402E-2</v>
      </c>
    </row>
    <row r="11" spans="1:15" ht="15.75" customHeight="1" x14ac:dyDescent="0.2">
      <c r="B11" s="7" t="s">
        <v>110</v>
      </c>
      <c r="C11" s="56">
        <v>4.9788793084545202E-2</v>
      </c>
      <c r="D11" s="56">
        <v>4.9788793084545202E-2</v>
      </c>
      <c r="E11" s="56">
        <v>5.5284452709501899E-2</v>
      </c>
      <c r="F11" s="56">
        <v>4.3006511088064803E-2</v>
      </c>
      <c r="G11" s="56">
        <v>2.1012943084603702E-2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0.48720162700000003</v>
      </c>
      <c r="D14" s="57">
        <v>0.481282526652</v>
      </c>
      <c r="E14" s="57">
        <v>0.481282526652</v>
      </c>
      <c r="F14" s="57">
        <v>0.54058460914799999</v>
      </c>
      <c r="G14" s="57">
        <v>0.54058460914799999</v>
      </c>
      <c r="H14" s="58">
        <v>0.52100000000000002</v>
      </c>
      <c r="I14" s="58">
        <v>0.52100000000000002</v>
      </c>
      <c r="J14" s="58">
        <v>0.52100000000000002</v>
      </c>
      <c r="K14" s="58">
        <v>0.52100000000000002</v>
      </c>
      <c r="L14" s="58">
        <v>0.27010485404899998</v>
      </c>
      <c r="M14" s="58">
        <v>0.19529969828800001</v>
      </c>
      <c r="N14" s="58">
        <v>0.27586655971849999</v>
      </c>
      <c r="O14" s="58">
        <v>0.296251668902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0.21367473599718853</v>
      </c>
      <c r="D15" s="55">
        <f t="shared" si="0"/>
        <v>0.21107876313070265</v>
      </c>
      <c r="E15" s="55">
        <f t="shared" si="0"/>
        <v>0.21107876313070265</v>
      </c>
      <c r="F15" s="55">
        <f t="shared" si="0"/>
        <v>0.23708720833939712</v>
      </c>
      <c r="G15" s="55">
        <f t="shared" si="0"/>
        <v>0.23708720833939712</v>
      </c>
      <c r="H15" s="55">
        <f t="shared" si="0"/>
        <v>0.22849787702891891</v>
      </c>
      <c r="I15" s="55">
        <f t="shared" si="0"/>
        <v>0.22849787702891891</v>
      </c>
      <c r="J15" s="55">
        <f t="shared" si="0"/>
        <v>0.22849787702891891</v>
      </c>
      <c r="K15" s="55">
        <f t="shared" si="0"/>
        <v>0.22849787702891891</v>
      </c>
      <c r="L15" s="55">
        <f t="shared" si="0"/>
        <v>0.11846139294702972</v>
      </c>
      <c r="M15" s="55">
        <f t="shared" si="0"/>
        <v>8.5653678393851032E-2</v>
      </c>
      <c r="N15" s="55">
        <f t="shared" si="0"/>
        <v>0.12098833635114918</v>
      </c>
      <c r="O15" s="55">
        <f t="shared" si="0"/>
        <v>0.12992874742875468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0.45592287297741801</v>
      </c>
      <c r="D2" s="56">
        <v>0.280937540715686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0.39208534616123702</v>
      </c>
      <c r="D3" s="56">
        <v>0.41964019980392198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0.119288975244239</v>
      </c>
      <c r="D4" s="56">
        <v>0.26842458431372501</v>
      </c>
      <c r="E4" s="56">
        <v>0.95333877377126397</v>
      </c>
      <c r="F4" s="56">
        <v>0.71441323901044895</v>
      </c>
      <c r="G4" s="56">
        <v>0</v>
      </c>
    </row>
    <row r="5" spans="1:7" x14ac:dyDescent="0.2">
      <c r="B5" s="98" t="s">
        <v>122</v>
      </c>
      <c r="C5" s="55">
        <v>3.2702805617106097E-2</v>
      </c>
      <c r="D5" s="55">
        <v>3.0997675166666998E-2</v>
      </c>
      <c r="E5" s="55">
        <v>4.6661226228736009E-2</v>
      </c>
      <c r="F5" s="55">
        <v>0.28558676098955099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2022-02-01T08:53:48Z</dcterms:modified>
</cp:coreProperties>
</file>