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B964BFAC-2359-4847-88DD-212E6F0192CF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8" i="2"/>
  <c r="H38" i="2"/>
  <c r="G38" i="2"/>
  <c r="A38" i="2"/>
  <c r="A30" i="2"/>
  <c r="A25" i="2"/>
  <c r="A18" i="2"/>
  <c r="A15" i="2"/>
  <c r="H11" i="2"/>
  <c r="G11" i="2"/>
  <c r="I11" i="2" s="1"/>
  <c r="H10" i="2"/>
  <c r="G10" i="2"/>
  <c r="H9" i="2"/>
  <c r="G9" i="2"/>
  <c r="I9" i="2" s="1"/>
  <c r="H8" i="2"/>
  <c r="I8" i="2" s="1"/>
  <c r="G8" i="2"/>
  <c r="H7" i="2"/>
  <c r="G7" i="2"/>
  <c r="I7" i="2" s="1"/>
  <c r="H6" i="2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6" i="2" l="1"/>
  <c r="A26" i="2"/>
  <c r="A17" i="2"/>
  <c r="A27" i="2"/>
  <c r="A3" i="2"/>
  <c r="A4" i="2" s="1"/>
  <c r="A5" i="2" s="1"/>
  <c r="A6" i="2" s="1"/>
  <c r="A7" i="2" s="1"/>
  <c r="A8" i="2" s="1"/>
  <c r="A9" i="2" s="1"/>
  <c r="A10" i="2" s="1"/>
  <c r="A11" i="2" s="1"/>
  <c r="I6" i="2"/>
  <c r="I10" i="2"/>
  <c r="A19" i="2"/>
  <c r="A31" i="2"/>
  <c r="A39" i="2"/>
  <c r="A33" i="2"/>
  <c r="I39" i="2"/>
  <c r="A22" i="2"/>
  <c r="A23" i="2"/>
  <c r="A34" i="2"/>
  <c r="A14" i="2"/>
  <c r="A24" i="2"/>
  <c r="A35" i="2"/>
  <c r="A40" i="2"/>
  <c r="A12" i="2"/>
  <c r="A20" i="2"/>
  <c r="A28" i="2"/>
  <c r="A36" i="2"/>
  <c r="A13" i="2"/>
  <c r="A21" i="2"/>
  <c r="A29" i="2"/>
  <c r="A37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<sst xmlns="http://schemas.openxmlformats.org/spreadsheetml/2006/main" count="2092" uniqueCount="341">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</sst>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55409.916015625</v>
      </c>
    </row>
    <row r="8" spans="1:3" ht="15" customHeight="1" x14ac:dyDescent="0.2">
      <c r="B8" s="7" t="s">
        <v>8</v>
      </c>
      <c r="C8" s="46">
        <v>0.10199999999999999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0.45275009155273399</v>
      </c>
    </row>
    <row r="11" spans="1:3" ht="15" customHeight="1" x14ac:dyDescent="0.2">
      <c r="B11" s="7" t="s">
        <v>11</v>
      </c>
      <c r="C11" s="46">
        <v>0.63700000000000001</v>
      </c>
    </row>
    <row r="12" spans="1:3" ht="15" customHeight="1" x14ac:dyDescent="0.2">
      <c r="B12" s="7" t="s">
        <v>12</v>
      </c>
      <c r="C12" s="46">
        <v>0.77</v>
      </c>
    </row>
    <row r="13" spans="1:3" ht="15" customHeight="1" x14ac:dyDescent="0.2">
      <c r="B13" s="7" t="s">
        <v>13</v>
      </c>
      <c r="C13" s="46">
        <v>0.46700000000000003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7.3499999999999996E-2</v>
      </c>
    </row>
    <row r="24" spans="1:3" ht="15" customHeight="1" x14ac:dyDescent="0.2">
      <c r="B24" s="12" t="s">
        <v>22</v>
      </c>
      <c r="C24" s="47">
        <v>0.48159999999999997</v>
      </c>
    </row>
    <row r="25" spans="1:3" ht="15" customHeight="1" x14ac:dyDescent="0.2">
      <c r="B25" s="12" t="s">
        <v>23</v>
      </c>
      <c r="C25" s="47">
        <v>0.38009999999999999</v>
      </c>
    </row>
    <row r="26" spans="1:3" ht="15" customHeight="1" x14ac:dyDescent="0.2">
      <c r="B26" s="12" t="s">
        <v>24</v>
      </c>
      <c r="C26" s="47">
        <v>6.480000000000001E-2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0.29199999999999998</v>
      </c>
    </row>
    <row r="30" spans="1:3" ht="14.25" customHeight="1" x14ac:dyDescent="0.2">
      <c r="B30" s="22" t="s">
        <v>27</v>
      </c>
      <c r="C30" s="49">
        <v>5.8000000000000003E-2</v>
      </c>
    </row>
    <row r="31" spans="1:3" ht="14.25" customHeight="1" x14ac:dyDescent="0.2">
      <c r="B31" s="22" t="s">
        <v>28</v>
      </c>
      <c r="C31" s="49">
        <v>0.12</v>
      </c>
    </row>
    <row r="32" spans="1:3" ht="14.25" customHeight="1" x14ac:dyDescent="0.2">
      <c r="B32" s="22" t="s">
        <v>29</v>
      </c>
      <c r="C32" s="49">
        <v>0.53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11.215158746277901</v>
      </c>
    </row>
    <row r="38" spans="1:5" ht="15" customHeight="1" x14ac:dyDescent="0.2">
      <c r="B38" s="28" t="s">
        <v>34</v>
      </c>
      <c r="C38" s="117">
        <v>16.079923623550702</v>
      </c>
      <c r="D38" s="9"/>
      <c r="E38" s="10"/>
    </row>
    <row r="39" spans="1:5" ht="15" customHeight="1" x14ac:dyDescent="0.2">
      <c r="B39" s="28" t="s">
        <v>35</v>
      </c>
      <c r="C39" s="117">
        <v>17.9947473470686</v>
      </c>
      <c r="D39" s="9"/>
      <c r="E39" s="9"/>
    </row>
    <row r="40" spans="1:5" ht="15" customHeight="1" x14ac:dyDescent="0.2">
      <c r="B40" s="28" t="s">
        <v>36</v>
      </c>
      <c r="C40" s="117">
        <v>120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11.203926129999999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1.93575E-2</v>
      </c>
      <c r="D45" s="9"/>
    </row>
    <row r="46" spans="1:5" ht="15.75" customHeight="1" x14ac:dyDescent="0.2">
      <c r="B46" s="28" t="s">
        <v>41</v>
      </c>
      <c r="C46" s="47">
        <v>6.8779460000000001E-2</v>
      </c>
      <c r="D46" s="9"/>
    </row>
    <row r="47" spans="1:5" ht="15.75" customHeight="1" x14ac:dyDescent="0.2">
      <c r="B47" s="28" t="s">
        <v>42</v>
      </c>
      <c r="C47" s="47">
        <v>0.15340100000000001</v>
      </c>
      <c r="D47" s="9"/>
      <c r="E47" s="10"/>
    </row>
    <row r="48" spans="1:5" ht="15" customHeight="1" x14ac:dyDescent="0.2">
      <c r="B48" s="28" t="s">
        <v>43</v>
      </c>
      <c r="C48" s="48">
        <v>0.75846203999999995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3.2</v>
      </c>
      <c r="D51" s="9"/>
    </row>
    <row r="52" spans="1:4" ht="15" customHeight="1" x14ac:dyDescent="0.2">
      <c r="B52" s="28" t="s">
        <v>46</v>
      </c>
      <c r="C52" s="51">
        <v>3.2</v>
      </c>
    </row>
    <row r="53" spans="1:4" ht="15.75" customHeight="1" x14ac:dyDescent="0.2">
      <c r="B53" s="28" t="s">
        <v>47</v>
      </c>
      <c r="C53" s="51">
        <v>3.2</v>
      </c>
    </row>
    <row r="54" spans="1:4" ht="15.75" customHeight="1" x14ac:dyDescent="0.2">
      <c r="B54" s="28" t="s">
        <v>48</v>
      </c>
      <c r="C54" s="51">
        <v>3.2</v>
      </c>
    </row>
    <row r="55" spans="1:4" ht="15.75" customHeight="1" x14ac:dyDescent="0.2">
      <c r="B55" s="28" t="s">
        <v>49</v>
      </c>
      <c r="C55" s="51">
        <v>3.2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2.059386973180076E-2</v>
      </c>
    </row>
    <row r="59" spans="1:4" ht="15.75" customHeight="1" x14ac:dyDescent="0.2">
      <c r="B59" s="28" t="s">
        <v>52</v>
      </c>
      <c r="C59" s="46">
        <v>0.51273547416218423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0.162037549025391</v>
      </c>
      <c r="C2" s="115">
        <v>0.95</v>
      </c>
      <c r="D2" s="116">
        <v>36.11916955958214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42.481123974359448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70.900000000000006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1.270477719427328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13.49883587438004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13.49883587438004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13.49883587438004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13.49883587438004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13.49883587438004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13.49883587438004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7.8606899999999993E-2</v>
      </c>
      <c r="C16" s="115">
        <v>0.95</v>
      </c>
      <c r="D16" s="116">
        <v>0.2380786122301152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0.32122916666666701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0.23215369999999999</v>
      </c>
      <c r="C18" s="115">
        <v>0.95</v>
      </c>
      <c r="D18" s="116">
        <v>1.73788639265208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0.23215369999999999</v>
      </c>
      <c r="C19" s="115">
        <v>0.95</v>
      </c>
      <c r="D19" s="116">
        <v>1.73788639265208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0.93173689999999998</v>
      </c>
      <c r="C21" s="115">
        <v>0.95</v>
      </c>
      <c r="D21" s="116">
        <v>11.875561895445459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23.01288460391692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4.4354944052820704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0.69723745018169003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19.49524523887251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</v>
      </c>
      <c r="C29" s="115">
        <v>0.95</v>
      </c>
      <c r="D29" s="116">
        <v>63.641193459852339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4.5094624774474914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0.45591617905202908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0.12046129999999999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3.9132363162934806E-3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0.78703515497187193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0.67778970654464399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2.7969611357764639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0.84457583171135597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">
      <c r="A3" s="4" t="s">
        <v>204</v>
      </c>
      <c r="B3" s="18">
        <f>frac_mam_1month * 2.6</f>
        <v>0.10682585940000003</v>
      </c>
      <c r="C3" s="18">
        <f>frac_mam_1_5months * 2.6</f>
        <v>0.10682585940000003</v>
      </c>
      <c r="D3" s="18">
        <f>frac_mam_6_11months * 2.6</f>
        <v>0.2013942346</v>
      </c>
      <c r="E3" s="18">
        <f>frac_mam_12_23months * 2.6</f>
        <v>0.12607114780000001</v>
      </c>
      <c r="F3" s="18">
        <f>frac_mam_24_59months * 2.6</f>
        <v>9.9420970999999997E-2</v>
      </c>
    </row>
    <row r="4" spans="1:6" ht="15.75" customHeight="1" x14ac:dyDescent="0.2">
      <c r="A4" s="4" t="s">
        <v>205</v>
      </c>
      <c r="B4" s="18">
        <f>frac_sam_1month * 2.6</f>
        <v>6.0566992200000003E-2</v>
      </c>
      <c r="C4" s="18">
        <f>frac_sam_1_5months * 2.6</f>
        <v>6.0566992200000003E-2</v>
      </c>
      <c r="D4" s="18">
        <f>frac_sam_6_11months * 2.6</f>
        <v>1.8212152660000001E-2</v>
      </c>
      <c r="E4" s="18">
        <f>frac_sam_12_23months * 2.6</f>
        <v>4.7944423799999997E-2</v>
      </c>
      <c r="F4" s="18">
        <f>frac_sam_24_59months * 2.6</f>
        <v>1.7275144900000001E-2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0.10199999999999999</v>
      </c>
      <c r="E2" s="65">
        <f>food_insecure</f>
        <v>0.10199999999999999</v>
      </c>
      <c r="F2" s="65">
        <f>food_insecure</f>
        <v>0.10199999999999999</v>
      </c>
      <c r="G2" s="65">
        <f>food_insecure</f>
        <v>0.10199999999999999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0.10199999999999999</v>
      </c>
      <c r="F5" s="65">
        <f>food_insecure</f>
        <v>0.10199999999999999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6.5900383141762428E-2</v>
      </c>
      <c r="D7" s="65">
        <f>diarrhoea_1_5mo*frac_diarrhea_severe</f>
        <v>6.5900383141762428E-2</v>
      </c>
      <c r="E7" s="65">
        <f>diarrhoea_6_11mo*frac_diarrhea_severe</f>
        <v>6.5900383141762428E-2</v>
      </c>
      <c r="F7" s="65">
        <f>diarrhoea_12_23mo*frac_diarrhea_severe</f>
        <v>6.5900383141762428E-2</v>
      </c>
      <c r="G7" s="65">
        <f>diarrhoea_24_59mo*frac_diarrhea_severe</f>
        <v>6.5900383141762428E-2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0.10199999999999999</v>
      </c>
      <c r="F8" s="65">
        <f>food_insecure</f>
        <v>0.10199999999999999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0.10199999999999999</v>
      </c>
      <c r="F9" s="65">
        <f>food_insecure</f>
        <v>0.10199999999999999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0.77</v>
      </c>
      <c r="E10" s="65">
        <f>IF(ISBLANK(comm_deliv), frac_children_health_facility,1)</f>
        <v>0.77</v>
      </c>
      <c r="F10" s="65">
        <f>IF(ISBLANK(comm_deliv), frac_children_health_facility,1)</f>
        <v>0.77</v>
      </c>
      <c r="G10" s="65">
        <f>IF(ISBLANK(comm_deliv), frac_children_health_facility,1)</f>
        <v>0.77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6.5900383141762428E-2</v>
      </c>
      <c r="D12" s="65">
        <f>diarrhoea_1_5mo*frac_diarrhea_severe</f>
        <v>6.5900383141762428E-2</v>
      </c>
      <c r="E12" s="65">
        <f>diarrhoea_6_11mo*frac_diarrhea_severe</f>
        <v>6.5900383141762428E-2</v>
      </c>
      <c r="F12" s="65">
        <f>diarrhoea_12_23mo*frac_diarrhea_severe</f>
        <v>6.5900383141762428E-2</v>
      </c>
      <c r="G12" s="65">
        <f>diarrhoea_24_59mo*frac_diarrhea_severe</f>
        <v>6.5900383141762428E-2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0.10199999999999999</v>
      </c>
      <c r="I15" s="65">
        <f>food_insecure</f>
        <v>0.10199999999999999</v>
      </c>
      <c r="J15" s="65">
        <f>food_insecure</f>
        <v>0.10199999999999999</v>
      </c>
      <c r="K15" s="65">
        <f>food_insecure</f>
        <v>0.10199999999999999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0.63700000000000001</v>
      </c>
      <c r="I18" s="65">
        <f>frac_PW_health_facility</f>
        <v>0.63700000000000001</v>
      </c>
      <c r="J18" s="65">
        <f>frac_PW_health_facility</f>
        <v>0.63700000000000001</v>
      </c>
      <c r="K18" s="65">
        <f>frac_PW_health_facility</f>
        <v>0.63700000000000001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0.46700000000000003</v>
      </c>
      <c r="M24" s="65">
        <f>famplan_unmet_need</f>
        <v>0.46700000000000003</v>
      </c>
      <c r="N24" s="65">
        <f>famplan_unmet_need</f>
        <v>0.46700000000000003</v>
      </c>
      <c r="O24" s="65">
        <f>famplan_unmet_need</f>
        <v>0.46700000000000003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0.27987454817810076</v>
      </c>
      <c r="M25" s="65">
        <f>(1-food_insecure)*(0.49)+food_insecure*(0.7)</f>
        <v>0.51141999999999999</v>
      </c>
      <c r="N25" s="65">
        <f>(1-food_insecure)*(0.49)+food_insecure*(0.7)</f>
        <v>0.51141999999999999</v>
      </c>
      <c r="O25" s="65">
        <f>(1-food_insecure)*(0.49)+food_insecure*(0.7)</f>
        <v>0.51141999999999999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0.11994623493347174</v>
      </c>
      <c r="M26" s="65">
        <f>(1-food_insecure)*(0.21)+food_insecure*(0.3)</f>
        <v>0.21917999999999999</v>
      </c>
      <c r="N26" s="65">
        <f>(1-food_insecure)*(0.21)+food_insecure*(0.3)</f>
        <v>0.21917999999999999</v>
      </c>
      <c r="O26" s="65">
        <f>(1-food_insecure)*(0.21)+food_insecure*(0.3)</f>
        <v>0.21917999999999999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0.14742912533569344</v>
      </c>
      <c r="M27" s="65">
        <f>(1-food_insecure)*(0.3)</f>
        <v>0.26939999999999997</v>
      </c>
      <c r="N27" s="65">
        <f>(1-food_insecure)*(0.3)</f>
        <v>0.26939999999999997</v>
      </c>
      <c r="O27" s="65">
        <f>(1-food_insecure)*(0.3)</f>
        <v>0.26939999999999997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0.45275009155273399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392421.17879999988</v>
      </c>
      <c r="C2" s="53">
        <v>1157000</v>
      </c>
      <c r="D2" s="53">
        <v>1676000</v>
      </c>
      <c r="E2" s="53">
        <v>732000</v>
      </c>
      <c r="F2" s="53">
        <v>471000</v>
      </c>
      <c r="G2" s="14">
        <f t="shared" ref="G2:G11" si="0">C2+D2+E2+F2</f>
        <v>4036000</v>
      </c>
      <c r="H2" s="14">
        <f t="shared" ref="H2:H11" si="1">(B2 + stillbirth*B2/(1000-stillbirth))/(1-abortion)</f>
        <v>416003.83090827434</v>
      </c>
      <c r="I2" s="14">
        <f t="shared" ref="I2:I11" si="2">G2-H2</f>
        <v>3619996.1690917257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409782.53159999999</v>
      </c>
      <c r="C3" s="53">
        <v>1181000</v>
      </c>
      <c r="D3" s="53">
        <v>1816000</v>
      </c>
      <c r="E3" s="53">
        <v>754000</v>
      </c>
      <c r="F3" s="53">
        <v>485000</v>
      </c>
      <c r="G3" s="14">
        <f t="shared" si="0"/>
        <v>4236000</v>
      </c>
      <c r="H3" s="14">
        <f t="shared" si="1"/>
        <v>434408.51868948882</v>
      </c>
      <c r="I3" s="14">
        <f t="shared" si="2"/>
        <v>3801591.481310511</v>
      </c>
    </row>
    <row r="4" spans="1:9" ht="15.75" customHeight="1" x14ac:dyDescent="0.2">
      <c r="A4" s="7">
        <f t="shared" si="3"/>
        <v>2023</v>
      </c>
      <c r="B4" s="52">
        <v>429701.86499999987</v>
      </c>
      <c r="C4" s="53">
        <v>1204000</v>
      </c>
      <c r="D4" s="53">
        <v>1952000</v>
      </c>
      <c r="E4" s="53">
        <v>771000</v>
      </c>
      <c r="F4" s="53">
        <v>500000</v>
      </c>
      <c r="G4" s="14">
        <f t="shared" si="0"/>
        <v>4427000</v>
      </c>
      <c r="H4" s="14">
        <f t="shared" si="1"/>
        <v>455524.90957562492</v>
      </c>
      <c r="I4" s="14">
        <f t="shared" si="2"/>
        <v>3971475.0904243751</v>
      </c>
    </row>
    <row r="5" spans="1:9" ht="15.75" customHeight="1" x14ac:dyDescent="0.2">
      <c r="A5" s="7">
        <f t="shared" si="3"/>
        <v>2024</v>
      </c>
      <c r="B5" s="52">
        <v>449674.5455999999</v>
      </c>
      <c r="C5" s="53">
        <v>1222000</v>
      </c>
      <c r="D5" s="53">
        <v>2069000</v>
      </c>
      <c r="E5" s="53">
        <v>785000</v>
      </c>
      <c r="F5" s="53">
        <v>519000</v>
      </c>
      <c r="G5" s="14">
        <f t="shared" si="0"/>
        <v>4595000</v>
      </c>
      <c r="H5" s="14">
        <f t="shared" si="1"/>
        <v>476697.85357552551</v>
      </c>
      <c r="I5" s="14">
        <f t="shared" si="2"/>
        <v>4118302.1464244747</v>
      </c>
    </row>
    <row r="6" spans="1:9" ht="15.75" customHeight="1" x14ac:dyDescent="0.2">
      <c r="A6" s="7">
        <f t="shared" si="3"/>
        <v>2025</v>
      </c>
      <c r="B6" s="52">
        <v>467822.01299999998</v>
      </c>
      <c r="C6" s="53">
        <v>1231000</v>
      </c>
      <c r="D6" s="53">
        <v>2158000</v>
      </c>
      <c r="E6" s="53">
        <v>794000</v>
      </c>
      <c r="F6" s="53">
        <v>542000</v>
      </c>
      <c r="G6" s="14">
        <f t="shared" si="0"/>
        <v>4725000</v>
      </c>
      <c r="H6" s="14">
        <f t="shared" si="1"/>
        <v>495935.89771669218</v>
      </c>
      <c r="I6" s="14">
        <f t="shared" si="2"/>
        <v>4229064.1022833083</v>
      </c>
    </row>
    <row r="7" spans="1:9" ht="15.75" customHeight="1" x14ac:dyDescent="0.2">
      <c r="A7" s="7">
        <f t="shared" si="3"/>
        <v>2026</v>
      </c>
      <c r="B7" s="52">
        <v>480535.56400000007</v>
      </c>
      <c r="C7" s="53">
        <v>1244000</v>
      </c>
      <c r="D7" s="53">
        <v>2241000</v>
      </c>
      <c r="E7" s="53">
        <v>801000</v>
      </c>
      <c r="F7" s="53">
        <v>568000</v>
      </c>
      <c r="G7" s="14">
        <f t="shared" si="0"/>
        <v>4854000</v>
      </c>
      <c r="H7" s="14">
        <f t="shared" si="1"/>
        <v>509413.4728481386</v>
      </c>
      <c r="I7" s="14">
        <f t="shared" si="2"/>
        <v>4344586.5271518612</v>
      </c>
    </row>
    <row r="8" spans="1:9" ht="15.75" customHeight="1" x14ac:dyDescent="0.2">
      <c r="A8" s="7">
        <f t="shared" si="3"/>
        <v>2027</v>
      </c>
      <c r="B8" s="52">
        <v>490941.87699999998</v>
      </c>
      <c r="C8" s="53">
        <v>1250000</v>
      </c>
      <c r="D8" s="53">
        <v>2302000</v>
      </c>
      <c r="E8" s="53">
        <v>803000</v>
      </c>
      <c r="F8" s="53">
        <v>598000</v>
      </c>
      <c r="G8" s="14">
        <f t="shared" si="0"/>
        <v>4953000</v>
      </c>
      <c r="H8" s="14">
        <f t="shared" si="1"/>
        <v>520445.15591598052</v>
      </c>
      <c r="I8" s="14">
        <f t="shared" si="2"/>
        <v>4432554.8440840198</v>
      </c>
    </row>
    <row r="9" spans="1:9" ht="15.75" customHeight="1" x14ac:dyDescent="0.2">
      <c r="A9" s="7">
        <f t="shared" si="3"/>
        <v>2028</v>
      </c>
      <c r="B9" s="52">
        <v>499456.12500000012</v>
      </c>
      <c r="C9" s="53">
        <v>1251000</v>
      </c>
      <c r="D9" s="53">
        <v>2347000</v>
      </c>
      <c r="E9" s="53">
        <v>803000</v>
      </c>
      <c r="F9" s="53">
        <v>630000</v>
      </c>
      <c r="G9" s="14">
        <f t="shared" si="0"/>
        <v>5031000</v>
      </c>
      <c r="H9" s="14">
        <f t="shared" si="1"/>
        <v>529471.06984889891</v>
      </c>
      <c r="I9" s="14">
        <f t="shared" si="2"/>
        <v>4501528.9301511012</v>
      </c>
    </row>
    <row r="10" spans="1:9" ht="15.75" customHeight="1" x14ac:dyDescent="0.2">
      <c r="A10" s="7">
        <f t="shared" si="3"/>
        <v>2029</v>
      </c>
      <c r="B10" s="52">
        <v>506833.04700000008</v>
      </c>
      <c r="C10" s="53">
        <v>1250000</v>
      </c>
      <c r="D10" s="53">
        <v>2379000</v>
      </c>
      <c r="E10" s="53">
        <v>799000</v>
      </c>
      <c r="F10" s="53">
        <v>661000</v>
      </c>
      <c r="G10" s="14">
        <f t="shared" si="0"/>
        <v>5089000</v>
      </c>
      <c r="H10" s="14">
        <f t="shared" si="1"/>
        <v>537291.30988205876</v>
      </c>
      <c r="I10" s="14">
        <f t="shared" si="2"/>
        <v>4551708.6901179412</v>
      </c>
    </row>
    <row r="11" spans="1:9" ht="15.75" customHeight="1" x14ac:dyDescent="0.2">
      <c r="A11" s="7">
        <f t="shared" si="3"/>
        <v>2030</v>
      </c>
      <c r="B11" s="52">
        <v>513614.22399999999</v>
      </c>
      <c r="C11" s="53">
        <v>1247000</v>
      </c>
      <c r="D11" s="53">
        <v>2404000</v>
      </c>
      <c r="E11" s="53">
        <v>795000</v>
      </c>
      <c r="F11" s="53">
        <v>687000</v>
      </c>
      <c r="G11" s="14">
        <f t="shared" si="0"/>
        <v>5133000</v>
      </c>
      <c r="H11" s="14">
        <f t="shared" si="1"/>
        <v>544480.00346555351</v>
      </c>
      <c r="I11" s="14">
        <f t="shared" si="2"/>
        <v>4588519.9965344463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0.15674200299506441</v>
      </c>
    </row>
    <row r="5" spans="1:8" ht="15.75" customHeight="1" x14ac:dyDescent="0.2">
      <c r="B5" s="16" t="s">
        <v>70</v>
      </c>
      <c r="C5" s="54">
        <v>2.5581404940566779E-3</v>
      </c>
    </row>
    <row r="6" spans="1:8" ht="15.75" customHeight="1" x14ac:dyDescent="0.2">
      <c r="B6" s="16" t="s">
        <v>71</v>
      </c>
      <c r="C6" s="54">
        <v>0.18902452665792679</v>
      </c>
    </row>
    <row r="7" spans="1:8" ht="15.75" customHeight="1" x14ac:dyDescent="0.2">
      <c r="B7" s="16" t="s">
        <v>72</v>
      </c>
      <c r="C7" s="54">
        <v>0.43305943212979531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0.1610509257617517</v>
      </c>
    </row>
    <row r="10" spans="1:8" ht="15.75" customHeight="1" x14ac:dyDescent="0.2">
      <c r="B10" s="16" t="s">
        <v>75</v>
      </c>
      <c r="C10" s="54">
        <v>5.7564971961404997E-2</v>
      </c>
    </row>
    <row r="11" spans="1:8" ht="15.75" customHeight="1" x14ac:dyDescent="0.2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3.432082295448232E-2</v>
      </c>
      <c r="D14" s="54">
        <v>3.432082295448232E-2</v>
      </c>
      <c r="E14" s="54">
        <v>3.432082295448232E-2</v>
      </c>
      <c r="F14" s="54">
        <v>3.432082295448232E-2</v>
      </c>
    </row>
    <row r="15" spans="1:8" ht="15.75" customHeight="1" x14ac:dyDescent="0.2">
      <c r="B15" s="16" t="s">
        <v>82</v>
      </c>
      <c r="C15" s="54">
        <v>0.140666645243958</v>
      </c>
      <c r="D15" s="54">
        <v>0.140666645243958</v>
      </c>
      <c r="E15" s="54">
        <v>0.140666645243958</v>
      </c>
      <c r="F15" s="54">
        <v>0.140666645243958</v>
      </c>
    </row>
    <row r="16" spans="1:8" ht="15.75" customHeight="1" x14ac:dyDescent="0.2">
      <c r="B16" s="16" t="s">
        <v>83</v>
      </c>
      <c r="C16" s="54">
        <v>3.1096352700361748E-2</v>
      </c>
      <c r="D16" s="54">
        <v>3.1096352700361748E-2</v>
      </c>
      <c r="E16" s="54">
        <v>3.1096352700361748E-2</v>
      </c>
      <c r="F16" s="54">
        <v>3.1096352700361748E-2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87</v>
      </c>
      <c r="C20" s="54">
        <v>4.3005050749764108E-2</v>
      </c>
      <c r="D20" s="54">
        <v>4.3005050749764108E-2</v>
      </c>
      <c r="E20" s="54">
        <v>4.3005050749764108E-2</v>
      </c>
      <c r="F20" s="54">
        <v>4.3005050749764108E-2</v>
      </c>
    </row>
    <row r="21" spans="1:8" ht="15.75" customHeight="1" x14ac:dyDescent="0.2">
      <c r="B21" s="16" t="s">
        <v>88</v>
      </c>
      <c r="C21" s="54">
        <v>0.2127879302138618</v>
      </c>
      <c r="D21" s="54">
        <v>0.2127879302138618</v>
      </c>
      <c r="E21" s="54">
        <v>0.2127879302138618</v>
      </c>
      <c r="F21" s="54">
        <v>0.2127879302138618</v>
      </c>
    </row>
    <row r="22" spans="1:8" ht="15.75" customHeight="1" x14ac:dyDescent="0.2">
      <c r="B22" s="16" t="s">
        <v>89</v>
      </c>
      <c r="C22" s="54">
        <v>0.53812319813757215</v>
      </c>
      <c r="D22" s="54">
        <v>0.53812319813757215</v>
      </c>
      <c r="E22" s="54">
        <v>0.53812319813757215</v>
      </c>
      <c r="F22" s="54">
        <v>0.53812319813757215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0.14119999999999999</v>
      </c>
    </row>
    <row r="27" spans="1:8" ht="15.75" customHeight="1" x14ac:dyDescent="0.2">
      <c r="B27" s="16" t="s">
        <v>92</v>
      </c>
      <c r="C27" s="54">
        <v>1.0800000000000001E-2</v>
      </c>
    </row>
    <row r="28" spans="1:8" ht="15.75" customHeight="1" x14ac:dyDescent="0.2">
      <c r="B28" s="16" t="s">
        <v>93</v>
      </c>
      <c r="C28" s="54">
        <v>0.34380000000000011</v>
      </c>
    </row>
    <row r="29" spans="1:8" ht="15.75" customHeight="1" x14ac:dyDescent="0.2">
      <c r="B29" s="16" t="s">
        <v>94</v>
      </c>
      <c r="C29" s="54">
        <v>9.8800000000000013E-2</v>
      </c>
    </row>
    <row r="30" spans="1:8" ht="15.75" customHeight="1" x14ac:dyDescent="0.2">
      <c r="B30" s="16" t="s">
        <v>95</v>
      </c>
      <c r="C30" s="54">
        <v>5.4600000000000003E-2</v>
      </c>
    </row>
    <row r="31" spans="1:8" ht="15.75" customHeight="1" x14ac:dyDescent="0.2">
      <c r="B31" s="16" t="s">
        <v>96</v>
      </c>
      <c r="C31" s="54">
        <v>1.1900000000000001E-2</v>
      </c>
    </row>
    <row r="32" spans="1:8" ht="15.75" customHeight="1" x14ac:dyDescent="0.2">
      <c r="B32" s="16" t="s">
        <v>97</v>
      </c>
      <c r="C32" s="54">
        <v>6.3299999999999995E-2</v>
      </c>
    </row>
    <row r="33" spans="2:3" ht="15.75" customHeight="1" x14ac:dyDescent="0.2">
      <c r="B33" s="16" t="s">
        <v>98</v>
      </c>
      <c r="C33" s="54">
        <v>0.1043</v>
      </c>
    </row>
    <row r="34" spans="2:3" ht="15.75" customHeight="1" x14ac:dyDescent="0.2">
      <c r="B34" s="16" t="s">
        <v>99</v>
      </c>
      <c r="C34" s="54">
        <v>0.17130000000223519</v>
      </c>
    </row>
    <row r="35" spans="2:3" ht="15.75" customHeight="1" x14ac:dyDescent="0.2">
      <c r="B35" s="24" t="s">
        <v>30</v>
      </c>
      <c r="C35" s="50">
        <f>SUM(C26:C34)</f>
        <v>1.0000000000022353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0.80397025999999994</v>
      </c>
      <c r="D2" s="55">
        <v>0.80397025999999994</v>
      </c>
      <c r="E2" s="55">
        <v>0.82138274999999994</v>
      </c>
      <c r="F2" s="55">
        <v>0.74269417000000004</v>
      </c>
      <c r="G2" s="55">
        <v>0.67832183999999995</v>
      </c>
    </row>
    <row r="3" spans="1:15" ht="15.75" customHeight="1" x14ac:dyDescent="0.2">
      <c r="B3" s="7" t="s">
        <v>103</v>
      </c>
      <c r="C3" s="55">
        <v>0.13857841000000001</v>
      </c>
      <c r="D3" s="55">
        <v>0.13857841000000001</v>
      </c>
      <c r="E3" s="55">
        <v>0.14274512</v>
      </c>
      <c r="F3" s="55">
        <v>0.17917873000000001</v>
      </c>
      <c r="G3" s="55">
        <v>0.22462923000000001</v>
      </c>
    </row>
    <row r="4" spans="1:15" ht="15.75" customHeight="1" x14ac:dyDescent="0.2">
      <c r="B4" s="7" t="s">
        <v>104</v>
      </c>
      <c r="C4" s="56">
        <v>4.5964250999999998E-2</v>
      </c>
      <c r="D4" s="56">
        <v>4.5964250999999998E-2</v>
      </c>
      <c r="E4" s="56">
        <v>1.7641047999999999E-2</v>
      </c>
      <c r="F4" s="56">
        <v>6.0780543999999999E-2</v>
      </c>
      <c r="G4" s="56">
        <v>7.2927145999999998E-2</v>
      </c>
    </row>
    <row r="5" spans="1:15" ht="15.75" customHeight="1" x14ac:dyDescent="0.2">
      <c r="B5" s="7" t="s">
        <v>105</v>
      </c>
      <c r="C5" s="56">
        <v>1.1487074999999999E-2</v>
      </c>
      <c r="D5" s="56">
        <v>1.1487074999999999E-2</v>
      </c>
      <c r="E5" s="56">
        <v>1.8231058000000001E-2</v>
      </c>
      <c r="F5" s="56">
        <v>1.7346507000000001E-2</v>
      </c>
      <c r="G5" s="56">
        <v>2.4121772999999999E-2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0.81888649000000002</v>
      </c>
      <c r="D8" s="55">
        <v>0.81888649000000002</v>
      </c>
      <c r="E8" s="55">
        <v>0.74386993000000001</v>
      </c>
      <c r="F8" s="55">
        <v>0.77984604000000002</v>
      </c>
      <c r="G8" s="55">
        <v>0.78981239000000003</v>
      </c>
    </row>
    <row r="9" spans="1:15" ht="15.75" customHeight="1" x14ac:dyDescent="0.2">
      <c r="B9" s="7" t="s">
        <v>108</v>
      </c>
      <c r="C9" s="55">
        <v>0.1167316</v>
      </c>
      <c r="D9" s="55">
        <v>0.1167316</v>
      </c>
      <c r="E9" s="55">
        <v>0.17166604999999999</v>
      </c>
      <c r="F9" s="55">
        <v>0.1532249</v>
      </c>
      <c r="G9" s="55">
        <v>0.16530450999999999</v>
      </c>
    </row>
    <row r="10" spans="1:15" ht="15.75" customHeight="1" x14ac:dyDescent="0.2">
      <c r="B10" s="7" t="s">
        <v>109</v>
      </c>
      <c r="C10" s="56">
        <v>4.1086869000000012E-2</v>
      </c>
      <c r="D10" s="56">
        <v>4.1086869000000012E-2</v>
      </c>
      <c r="E10" s="56">
        <v>7.7459320999999998E-2</v>
      </c>
      <c r="F10" s="56">
        <v>4.8488903E-2</v>
      </c>
      <c r="G10" s="56">
        <v>3.8238834999999999E-2</v>
      </c>
    </row>
    <row r="11" spans="1:15" ht="15.75" customHeight="1" x14ac:dyDescent="0.2">
      <c r="B11" s="7" t="s">
        <v>110</v>
      </c>
      <c r="C11" s="56">
        <v>2.3294997000000001E-2</v>
      </c>
      <c r="D11" s="56">
        <v>2.3294997000000001E-2</v>
      </c>
      <c r="E11" s="56">
        <v>7.0046741000000003E-3</v>
      </c>
      <c r="F11" s="56">
        <v>1.8440162999999999E-2</v>
      </c>
      <c r="G11" s="56">
        <v>6.6442864999999999E-3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0.47549585524999999</v>
      </c>
      <c r="D14" s="57">
        <v>0.47235857479600002</v>
      </c>
      <c r="E14" s="57">
        <v>0.47235857479600002</v>
      </c>
      <c r="F14" s="57">
        <v>0.37734795349299999</v>
      </c>
      <c r="G14" s="57">
        <v>0.37734795349299999</v>
      </c>
      <c r="H14" s="58">
        <v>0.36099999999999999</v>
      </c>
      <c r="I14" s="58">
        <v>0.36099999999999999</v>
      </c>
      <c r="J14" s="58">
        <v>0.36099999999999999</v>
      </c>
      <c r="K14" s="58">
        <v>0.36099999999999999</v>
      </c>
      <c r="L14" s="58">
        <v>0.161862148471</v>
      </c>
      <c r="M14" s="58">
        <v>0.15000690291300001</v>
      </c>
      <c r="N14" s="58">
        <v>0.1748936218595</v>
      </c>
      <c r="O14" s="58">
        <v>0.20736826611449999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0.24380359280376207</v>
      </c>
      <c r="D15" s="55">
        <f t="shared" si="0"/>
        <v>0.24219499782260065</v>
      </c>
      <c r="E15" s="55">
        <f t="shared" si="0"/>
        <v>0.24219499782260065</v>
      </c>
      <c r="F15" s="55">
        <f t="shared" si="0"/>
        <v>0.1934796818583632</v>
      </c>
      <c r="G15" s="55">
        <f t="shared" si="0"/>
        <v>0.1934796818583632</v>
      </c>
      <c r="H15" s="55">
        <f t="shared" si="0"/>
        <v>0.1850975061725485</v>
      </c>
      <c r="I15" s="55">
        <f t="shared" si="0"/>
        <v>0.1850975061725485</v>
      </c>
      <c r="J15" s="55">
        <f t="shared" si="0"/>
        <v>0.1850975061725485</v>
      </c>
      <c r="K15" s="55">
        <f t="shared" si="0"/>
        <v>0.1850975061725485</v>
      </c>
      <c r="L15" s="55">
        <f t="shared" si="0"/>
        <v>8.2992465445188054E-2</v>
      </c>
      <c r="M15" s="55">
        <f t="shared" si="0"/>
        <v>7.69138604926978E-2</v>
      </c>
      <c r="N15" s="55">
        <f t="shared" si="0"/>
        <v>8.9674164132072479E-2</v>
      </c>
      <c r="O15" s="55">
        <f t="shared" si="0"/>
        <v>0.10632506625240816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0.16455739999999999</v>
      </c>
      <c r="D2" s="56">
        <v>7.7588900000000002E-2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0.2648297</v>
      </c>
      <c r="D3" s="56">
        <v>0.15188209999999999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0.38233679999999998</v>
      </c>
      <c r="D4" s="56">
        <v>0.4893575</v>
      </c>
      <c r="E4" s="56">
        <v>0.48359873890876798</v>
      </c>
      <c r="F4" s="56">
        <v>0.173986151814461</v>
      </c>
      <c r="G4" s="56">
        <v>0</v>
      </c>
    </row>
    <row r="5" spans="1:7" x14ac:dyDescent="0.2">
      <c r="B5" s="98" t="s">
        <v>122</v>
      </c>
      <c r="C5" s="55">
        <v>0.1882761</v>
      </c>
      <c r="D5" s="55">
        <v>0.28117150000000002</v>
      </c>
      <c r="E5" s="55">
        <v>0.51640126109123197</v>
      </c>
      <c r="F5" s="55">
        <v>0.82601384818553891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2022-02-01T08:56:18Z</dcterms:modified>
</cp:coreProperties>
</file>