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2E95B24-A5AD-42C9-AAA4-267219FF236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26" i="2"/>
  <c r="A14" i="2"/>
  <c r="H11" i="2"/>
  <c r="G11" i="2"/>
  <c r="H10" i="2"/>
  <c r="I10" i="2" s="1"/>
  <c r="G10" i="2"/>
  <c r="H9" i="2"/>
  <c r="G9" i="2"/>
  <c r="H8" i="2"/>
  <c r="G8" i="2"/>
  <c r="H7" i="2"/>
  <c r="G7" i="2"/>
  <c r="H6" i="2"/>
  <c r="I6" i="2" s="1"/>
  <c r="G6" i="2"/>
  <c r="H5" i="2"/>
  <c r="G5" i="2"/>
  <c r="H4" i="2"/>
  <c r="G4" i="2"/>
  <c r="H3" i="2"/>
  <c r="G3" i="2"/>
  <c r="A3" i="2"/>
  <c r="H2" i="2"/>
  <c r="G2" i="2"/>
  <c r="A2" i="2"/>
  <c r="A31" i="2" s="1"/>
  <c r="C33" i="1"/>
  <c r="C20" i="1"/>
  <c r="A25" i="2" l="1"/>
  <c r="A38" i="2"/>
  <c r="I4" i="2"/>
  <c r="I8" i="2"/>
  <c r="A16" i="2"/>
  <c r="A27" i="2"/>
  <c r="I5" i="2"/>
  <c r="I9" i="2"/>
  <c r="A17" i="2"/>
  <c r="A30" i="2"/>
  <c r="A18" i="2"/>
  <c r="A32" i="2"/>
  <c r="A39" i="2"/>
  <c r="I2" i="2"/>
  <c r="A19" i="2"/>
  <c r="A33" i="2"/>
  <c r="I39" i="2"/>
  <c r="A22" i="2"/>
  <c r="A34" i="2"/>
  <c r="I3" i="2"/>
  <c r="I7" i="2"/>
  <c r="I11" i="2"/>
  <c r="A24" i="2"/>
  <c r="A35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<sst xmlns="http://schemas.openxmlformats.org/spreadsheetml/2006/main" count="2092" uniqueCount="337">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</sst>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738602.6171875</v>
      </c>
    </row>
    <row r="8" spans="1:3" ht="15" customHeight="1" x14ac:dyDescent="0.2">
      <c r="B8" s="7" t="s">
        <v>19</v>
      </c>
      <c r="C8" s="46">
        <v>0.25800000000000001</v>
      </c>
    </row>
    <row r="9" spans="1:3" ht="15" customHeight="1" x14ac:dyDescent="0.2">
      <c r="B9" s="7" t="s">
        <v>20</v>
      </c>
      <c r="C9" s="47">
        <v>0.99900000000000011</v>
      </c>
    </row>
    <row r="10" spans="1:3" ht="15" customHeight="1" x14ac:dyDescent="0.2">
      <c r="B10" s="7" t="s">
        <v>21</v>
      </c>
      <c r="C10" s="47">
        <v>9.845620155334471E-2</v>
      </c>
    </row>
    <row r="11" spans="1:3" ht="15" customHeight="1" x14ac:dyDescent="0.2">
      <c r="B11" s="7" t="s">
        <v>22</v>
      </c>
      <c r="C11" s="46">
        <v>0.38100000000000001</v>
      </c>
    </row>
    <row r="12" spans="1:3" ht="15" customHeight="1" x14ac:dyDescent="0.2">
      <c r="B12" s="7" t="s">
        <v>23</v>
      </c>
      <c r="C12" s="46">
        <v>0.29799999999999999</v>
      </c>
    </row>
    <row r="13" spans="1:3" ht="15" customHeight="1" x14ac:dyDescent="0.2">
      <c r="B13" s="7" t="s">
        <v>24</v>
      </c>
      <c r="C13" s="46">
        <v>0.71299999999999997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0.10979999999999999</v>
      </c>
    </row>
    <row r="24" spans="1:3" ht="15" customHeight="1" x14ac:dyDescent="0.2">
      <c r="B24" s="12" t="s">
        <v>33</v>
      </c>
      <c r="C24" s="47">
        <v>0.4572</v>
      </c>
    </row>
    <row r="25" spans="1:3" ht="15" customHeight="1" x14ac:dyDescent="0.2">
      <c r="B25" s="12" t="s">
        <v>34</v>
      </c>
      <c r="C25" s="47">
        <v>0.30830000000000002</v>
      </c>
    </row>
    <row r="26" spans="1:3" ht="15" customHeight="1" x14ac:dyDescent="0.2">
      <c r="B26" s="12" t="s">
        <v>35</v>
      </c>
      <c r="C26" s="47">
        <v>0.12470000000000001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7.8E-2</v>
      </c>
    </row>
    <row r="31" spans="1:3" ht="14.25" customHeight="1" x14ac:dyDescent="0.2">
      <c r="B31" s="22" t="s">
        <v>39</v>
      </c>
      <c r="C31" s="49">
        <v>0.14899999999999999</v>
      </c>
    </row>
    <row r="32" spans="1:3" ht="14.25" customHeight="1" x14ac:dyDescent="0.2">
      <c r="B32" s="22" t="s">
        <v>40</v>
      </c>
      <c r="C32" s="49">
        <v>0.55500000000000005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39.734918925465799</v>
      </c>
    </row>
    <row r="38" spans="1:5" ht="15" customHeight="1" x14ac:dyDescent="0.2">
      <c r="B38" s="28" t="s">
        <v>45</v>
      </c>
      <c r="C38" s="117">
        <v>81.003217021782802</v>
      </c>
      <c r="D38" s="9"/>
      <c r="E38" s="10"/>
    </row>
    <row r="39" spans="1:5" ht="15" customHeight="1" x14ac:dyDescent="0.2">
      <c r="B39" s="28" t="s">
        <v>46</v>
      </c>
      <c r="C39" s="117">
        <v>110.05391226640999</v>
      </c>
      <c r="D39" s="9"/>
      <c r="E39" s="9"/>
    </row>
    <row r="40" spans="1:5" ht="15" customHeight="1" x14ac:dyDescent="0.2">
      <c r="B40" s="28" t="s">
        <v>47</v>
      </c>
      <c r="C40" s="117">
        <v>829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29.833033879999999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2.0202700000000001E-2</v>
      </c>
      <c r="D45" s="9"/>
    </row>
    <row r="46" spans="1:5" ht="15.75" customHeight="1" x14ac:dyDescent="0.2">
      <c r="B46" s="28" t="s">
        <v>52</v>
      </c>
      <c r="C46" s="47">
        <v>0.1055837</v>
      </c>
      <c r="D46" s="9"/>
    </row>
    <row r="47" spans="1:5" ht="15.75" customHeight="1" x14ac:dyDescent="0.2">
      <c r="B47" s="28" t="s">
        <v>53</v>
      </c>
      <c r="C47" s="47">
        <v>0.2499826</v>
      </c>
      <c r="D47" s="9"/>
      <c r="E47" s="10"/>
    </row>
    <row r="48" spans="1:5" ht="15" customHeight="1" x14ac:dyDescent="0.2">
      <c r="B48" s="28" t="s">
        <v>54</v>
      </c>
      <c r="C48" s="48">
        <v>0.62423099999999998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0.44643717778849318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14.536402000000001</v>
      </c>
    </row>
    <row r="63" spans="1:4" ht="15.75" customHeight="1" x14ac:dyDescent="0.2">
      <c r="A63" s="39"/>
    </row>
  </sheetData>
  <sheetProtection algorithmName="SHA-512" hashValue="omzlaSdp9AYud6CzOTadWmEv+IH6gr1HNEvEu41dxjKqmVbNM8dvb/qCla0wpEBqJbjgXl4Lf92ekwwwcNnLFQ==" saltValue="0F2fo5lS3xMAoGr7t0LE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9.9500762775573598E-2</v>
      </c>
      <c r="C2" s="115">
        <v>0.95</v>
      </c>
      <c r="D2" s="116">
        <v>34.034762035053411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54.620859337665578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38.221317431768732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0.1167246337508648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17.30460856515991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17.30460856515991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17.30460856515991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17.30460856515991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17.30460856515991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17.30460856515991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0.59670394897460899</v>
      </c>
      <c r="C16" s="115">
        <v>0.95</v>
      </c>
      <c r="D16" s="116">
        <v>0.23067217612567081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0.99436129525469097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0.99436129525469097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0.58332572939999994</v>
      </c>
      <c r="C21" s="115">
        <v>0.95</v>
      </c>
      <c r="D21" s="116">
        <v>1.066205212290068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29.45962320280529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5.6236363581689766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0.43651436815718098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25.024511947401859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4.7035990282893198E-3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0.33900000000000002</v>
      </c>
      <c r="C29" s="115">
        <v>0.95</v>
      </c>
      <c r="D29" s="116">
        <v>58.883846304768888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1.226522058081233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0.41624618403907598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0.46673053739999998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0.47219985959999999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0.18100107773409499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0.16602971078177101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7.7139026016212213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0.25319670744926698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Z3ORZhhm2L+vYKUll12bfWSQ2jFmpe45Lj5SypidZ7KWCJjJrJ/ExEjIhl91xvYwUubnF0Yj+wzt9EsuGJOQQ==" saltValue="RbcRq0DF7OII28PnFHrr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/iJQYmqZvGC/Rvq3Z1yWZvi63I5OM8MvJFJl1gdD/C70cXr6G9vHizBS3QdfJTFdwqZdUGlLW3LZC6gMsQKQg==" saltValue="d8kgYGJHhOxkFVcR6Wxn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xJwctmNUp7cpic+sR+jgLBnCJmtgt2gCBShSXVR7o/hBz2APYPsT4tHpX7kZsjUrX0eKWAh72f4hGIpRIM8aeQ==" saltValue="7dNjZC0I07lbCtZcQroA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0.10848275880000001</v>
      </c>
      <c r="C3" s="18">
        <f>frac_mam_1_5months * 2.6</f>
        <v>0.10848275880000001</v>
      </c>
      <c r="D3" s="18">
        <f>frac_mam_6_11months * 2.6</f>
        <v>0.1852547242</v>
      </c>
      <c r="E3" s="18">
        <f>frac_mam_12_23months * 2.6</f>
        <v>0.13992891119999998</v>
      </c>
      <c r="F3" s="18">
        <f>frac_mam_24_59months * 2.6</f>
        <v>7.381936900000001E-2</v>
      </c>
    </row>
    <row r="4" spans="1:6" ht="15.75" customHeight="1" x14ac:dyDescent="0.2">
      <c r="A4" s="4" t="s">
        <v>208</v>
      </c>
      <c r="B4" s="18">
        <f>frac_sam_1month * 2.6</f>
        <v>8.2176876600000004E-2</v>
      </c>
      <c r="C4" s="18">
        <f>frac_sam_1_5months * 2.6</f>
        <v>8.2176876600000004E-2</v>
      </c>
      <c r="D4" s="18">
        <f>frac_sam_6_11months * 2.6</f>
        <v>4.8562316400000007E-2</v>
      </c>
      <c r="E4" s="18">
        <f>frac_sam_12_23months * 2.6</f>
        <v>5.4622895600000006E-2</v>
      </c>
      <c r="F4" s="18">
        <f>frac_sam_24_59months * 2.6</f>
        <v>2.61509716E-2</v>
      </c>
    </row>
  </sheetData>
  <sheetProtection algorithmName="SHA-512" hashValue="/KXedhBhuHR1Ijk7JH0xuLZCv6HbRoXTheSmbZ6sQC6z0ZBZBEEUHCyQ2AkJt1U/v0p0YRXeBhTu/rXHBIcFUQ==" saltValue="wJZgeaP5BWx1nKZDh7yI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0.25800000000000001</v>
      </c>
      <c r="E2" s="65">
        <f>food_insecure</f>
        <v>0.25800000000000001</v>
      </c>
      <c r="F2" s="65">
        <f>food_insecure</f>
        <v>0.25800000000000001</v>
      </c>
      <c r="G2" s="65">
        <f>food_insecure</f>
        <v>0.25800000000000001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0.25800000000000001</v>
      </c>
      <c r="F5" s="65">
        <f>food_insecure</f>
        <v>0.25800000000000001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0.25800000000000001</v>
      </c>
      <c r="F8" s="65">
        <f>food_insecure</f>
        <v>0.25800000000000001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0.25800000000000001</v>
      </c>
      <c r="F9" s="65">
        <f>food_insecure</f>
        <v>0.25800000000000001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0.29799999999999999</v>
      </c>
      <c r="E10" s="65">
        <f>IF(ISBLANK(comm_deliv), frac_children_health_facility,1)</f>
        <v>0.29799999999999999</v>
      </c>
      <c r="F10" s="65">
        <f>IF(ISBLANK(comm_deliv), frac_children_health_facility,1)</f>
        <v>0.29799999999999999</v>
      </c>
      <c r="G10" s="65">
        <f>IF(ISBLANK(comm_deliv), frac_children_health_facility,1)</f>
        <v>0.29799999999999999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0.25800000000000001</v>
      </c>
      <c r="I15" s="65">
        <f>food_insecure</f>
        <v>0.25800000000000001</v>
      </c>
      <c r="J15" s="65">
        <f>food_insecure</f>
        <v>0.25800000000000001</v>
      </c>
      <c r="K15" s="65">
        <f>food_insecure</f>
        <v>0.25800000000000001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0.38100000000000001</v>
      </c>
      <c r="I18" s="65">
        <f>frac_PW_health_facility</f>
        <v>0.38100000000000001</v>
      </c>
      <c r="J18" s="65">
        <f>frac_PW_health_facility</f>
        <v>0.38100000000000001</v>
      </c>
      <c r="K18" s="65">
        <f>frac_PW_health_facility</f>
        <v>0.38100000000000001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0.99900000000000011</v>
      </c>
      <c r="I19" s="65">
        <f>frac_malaria_risk</f>
        <v>0.99900000000000011</v>
      </c>
      <c r="J19" s="65">
        <f>frac_malaria_risk</f>
        <v>0.99900000000000011</v>
      </c>
      <c r="K19" s="65">
        <f>frac_malaria_risk</f>
        <v>0.99900000000000011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0.71299999999999997</v>
      </c>
      <c r="M24" s="65">
        <f>famplan_unmet_need</f>
        <v>0.71299999999999997</v>
      </c>
      <c r="N24" s="65">
        <f>famplan_unmet_need</f>
        <v>0.71299999999999997</v>
      </c>
      <c r="O24" s="65">
        <f>famplan_unmet_need</f>
        <v>0.71299999999999997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0.49060210423870088</v>
      </c>
      <c r="M25" s="65">
        <f>(1-food_insecure)*(0.49)+food_insecure*(0.7)</f>
        <v>0.54418</v>
      </c>
      <c r="N25" s="65">
        <f>(1-food_insecure)*(0.49)+food_insecure*(0.7)</f>
        <v>0.54418</v>
      </c>
      <c r="O25" s="65">
        <f>(1-food_insecure)*(0.49)+food_insecure*(0.7)</f>
        <v>0.54418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0.21025804467372894</v>
      </c>
      <c r="M26" s="65">
        <f>(1-food_insecure)*(0.21)+food_insecure*(0.3)</f>
        <v>0.23321999999999998</v>
      </c>
      <c r="N26" s="65">
        <f>(1-food_insecure)*(0.21)+food_insecure*(0.3)</f>
        <v>0.23321999999999998</v>
      </c>
      <c r="O26" s="65">
        <f>(1-food_insecure)*(0.21)+food_insecure*(0.3)</f>
        <v>0.23321999999999998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0.20068364953422546</v>
      </c>
      <c r="M27" s="65">
        <f>(1-food_insecure)*(0.3)</f>
        <v>0.22259999999999999</v>
      </c>
      <c r="N27" s="65">
        <f>(1-food_insecure)*(0.3)</f>
        <v>0.22259999999999999</v>
      </c>
      <c r="O27" s="65">
        <f>(1-food_insecure)*(0.3)</f>
        <v>0.22259999999999999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9.8456201553344724E-2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0.99900000000000011</v>
      </c>
      <c r="D34" s="65">
        <f t="shared" si="3"/>
        <v>0.99900000000000011</v>
      </c>
      <c r="E34" s="65">
        <f t="shared" si="3"/>
        <v>0.99900000000000011</v>
      </c>
      <c r="F34" s="65">
        <f t="shared" si="3"/>
        <v>0.99900000000000011</v>
      </c>
      <c r="G34" s="65">
        <f t="shared" si="3"/>
        <v>0.99900000000000011</v>
      </c>
      <c r="H34" s="65">
        <f t="shared" si="3"/>
        <v>0.99900000000000011</v>
      </c>
      <c r="I34" s="65">
        <f t="shared" si="3"/>
        <v>0.99900000000000011</v>
      </c>
      <c r="J34" s="65">
        <f t="shared" si="3"/>
        <v>0.99900000000000011</v>
      </c>
      <c r="K34" s="65">
        <f t="shared" si="3"/>
        <v>0.99900000000000011</v>
      </c>
      <c r="L34" s="65">
        <f t="shared" si="3"/>
        <v>0.99900000000000011</v>
      </c>
      <c r="M34" s="65">
        <f t="shared" si="3"/>
        <v>0.99900000000000011</v>
      </c>
      <c r="N34" s="65">
        <f t="shared" si="3"/>
        <v>0.99900000000000011</v>
      </c>
      <c r="O34" s="65">
        <f t="shared" si="3"/>
        <v>0.99900000000000011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PUNMxH1X+JFm6H+uBAYF1kqeqpcQRT2XAEIMKeOQf3aaRQ7/y7Sn+y5Sj+iz3TTQOT8mO71trYg8pTnGBgx7A==" saltValue="e3j5fz0CXLOxaE2rf1Ij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KuZyHyX99Q7bx13kYKaOoDFfujiAFEWSHvLThpB2I0RvLB6ARFOmStFz4GAKplnx/Ymj6s1e/p8sPmIYp9tGXQ==" saltValue="hS5a7xzfrLwa8jb5kruA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/KnB38fwVFWwYV3SCw/15jCqKvyNEN9L6tyg9cp1tmmA8XIDPrza/SvSgeQ8peYgaFF6pUYhzseFcEb0EeFYQ==" saltValue="Jf5lXMKlcqZ8zBXgHsBL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OC3/vos3V5aLrY4twF+VSecWPGwi4MfBmkaDH8EhNrug5C8w6336Ce0mAekSNWNtKe6Ewo35UTxZNigj2Pkhg==" saltValue="WmkHDVHDv17xNTwCJ9Z6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kMFYfG6lOM3OvRrE+2Z2tTMKqYLWdc5hDSh+c0efwMJv55OsByz8zdjyzAEU8IOFrDMU8mDvBapr+1mEq8npg==" saltValue="mzJHgL8+0rUkRRHZvIoJt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Y4QjgWLAFEgvFTWUhYC1KT1rmdtPnh0dAdphmRSOYgwrHSJI0j0AHDwFVwCGNY5fBpu/oQNSz+m4n4SqqD6Ig==" saltValue="rOXE7Vqrv4KOUp5BzUb4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172641.51459999999</v>
      </c>
      <c r="C2" s="53">
        <v>299000</v>
      </c>
      <c r="D2" s="53">
        <v>449000</v>
      </c>
      <c r="E2" s="53">
        <v>283000</v>
      </c>
      <c r="F2" s="53">
        <v>188000</v>
      </c>
      <c r="G2" s="14">
        <f t="shared" ref="G2:G11" si="0">C2+D2+E2+F2</f>
        <v>1219000</v>
      </c>
      <c r="H2" s="14">
        <f t="shared" ref="H2:H11" si="1">(B2 + stillbirth*B2/(1000-stillbirth))/(1-abortion)</f>
        <v>186530.7256768065</v>
      </c>
      <c r="I2" s="14">
        <f t="shared" ref="I2:I11" si="2">G2-H2</f>
        <v>1032469.2743231935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175470.2648</v>
      </c>
      <c r="C3" s="53">
        <v>305000</v>
      </c>
      <c r="D3" s="53">
        <v>467000</v>
      </c>
      <c r="E3" s="53">
        <v>292000</v>
      </c>
      <c r="F3" s="53">
        <v>194000</v>
      </c>
      <c r="G3" s="14">
        <f t="shared" si="0"/>
        <v>1258000</v>
      </c>
      <c r="H3" s="14">
        <f t="shared" si="1"/>
        <v>189587.05212752693</v>
      </c>
      <c r="I3" s="14">
        <f t="shared" si="2"/>
        <v>1068412.9478724732</v>
      </c>
    </row>
    <row r="4" spans="1:9" ht="15.75" customHeight="1" x14ac:dyDescent="0.2">
      <c r="A4" s="7">
        <f t="shared" si="3"/>
        <v>2023</v>
      </c>
      <c r="B4" s="52">
        <v>178498.12479999999</v>
      </c>
      <c r="C4" s="53">
        <v>310000</v>
      </c>
      <c r="D4" s="53">
        <v>486000</v>
      </c>
      <c r="E4" s="53">
        <v>301000</v>
      </c>
      <c r="F4" s="53">
        <v>200000</v>
      </c>
      <c r="G4" s="14">
        <f t="shared" si="0"/>
        <v>1297000</v>
      </c>
      <c r="H4" s="14">
        <f t="shared" si="1"/>
        <v>192858.50699373538</v>
      </c>
      <c r="I4" s="14">
        <f t="shared" si="2"/>
        <v>1104141.4930062646</v>
      </c>
    </row>
    <row r="5" spans="1:9" ht="15.75" customHeight="1" x14ac:dyDescent="0.2">
      <c r="A5" s="7">
        <f t="shared" si="3"/>
        <v>2024</v>
      </c>
      <c r="B5" s="52">
        <v>181586.0045999999</v>
      </c>
      <c r="C5" s="53">
        <v>314000</v>
      </c>
      <c r="D5" s="53">
        <v>505000</v>
      </c>
      <c r="E5" s="53">
        <v>311000</v>
      </c>
      <c r="F5" s="53">
        <v>207000</v>
      </c>
      <c r="G5" s="14">
        <f t="shared" si="0"/>
        <v>1337000</v>
      </c>
      <c r="H5" s="14">
        <f t="shared" si="1"/>
        <v>196194.81032281157</v>
      </c>
      <c r="I5" s="14">
        <f t="shared" si="2"/>
        <v>1140805.1896771884</v>
      </c>
    </row>
    <row r="6" spans="1:9" ht="15.75" customHeight="1" x14ac:dyDescent="0.2">
      <c r="A6" s="7">
        <f t="shared" si="3"/>
        <v>2025</v>
      </c>
      <c r="B6" s="52">
        <v>184732.29500000001</v>
      </c>
      <c r="C6" s="53">
        <v>319000</v>
      </c>
      <c r="D6" s="53">
        <v>523000</v>
      </c>
      <c r="E6" s="53">
        <v>324000</v>
      </c>
      <c r="F6" s="53">
        <v>213000</v>
      </c>
      <c r="G6" s="14">
        <f t="shared" si="0"/>
        <v>1379000</v>
      </c>
      <c r="H6" s="14">
        <f t="shared" si="1"/>
        <v>199594.22345274012</v>
      </c>
      <c r="I6" s="14">
        <f t="shared" si="2"/>
        <v>1179405.7765472599</v>
      </c>
    </row>
    <row r="7" spans="1:9" ht="15.75" customHeight="1" x14ac:dyDescent="0.2">
      <c r="A7" s="7">
        <f t="shared" si="3"/>
        <v>2026</v>
      </c>
      <c r="B7" s="52">
        <v>186966.78479999999</v>
      </c>
      <c r="C7" s="53">
        <v>323000</v>
      </c>
      <c r="D7" s="53">
        <v>538000</v>
      </c>
      <c r="E7" s="53">
        <v>336000</v>
      </c>
      <c r="F7" s="53">
        <v>221000</v>
      </c>
      <c r="G7" s="14">
        <f t="shared" si="0"/>
        <v>1418000</v>
      </c>
      <c r="H7" s="14">
        <f t="shared" si="1"/>
        <v>202008.48056162338</v>
      </c>
      <c r="I7" s="14">
        <f t="shared" si="2"/>
        <v>1215991.5194383767</v>
      </c>
    </row>
    <row r="8" spans="1:9" ht="15.75" customHeight="1" x14ac:dyDescent="0.2">
      <c r="A8" s="7">
        <f t="shared" si="3"/>
        <v>2027</v>
      </c>
      <c r="B8" s="52">
        <v>189148.5796</v>
      </c>
      <c r="C8" s="53">
        <v>326000</v>
      </c>
      <c r="D8" s="53">
        <v>552000</v>
      </c>
      <c r="E8" s="53">
        <v>351000</v>
      </c>
      <c r="F8" s="53">
        <v>227000</v>
      </c>
      <c r="G8" s="14">
        <f t="shared" si="0"/>
        <v>1456000</v>
      </c>
      <c r="H8" s="14">
        <f t="shared" si="1"/>
        <v>204365.80329633647</v>
      </c>
      <c r="I8" s="14">
        <f t="shared" si="2"/>
        <v>1251634.1967036636</v>
      </c>
    </row>
    <row r="9" spans="1:9" ht="15.75" customHeight="1" x14ac:dyDescent="0.2">
      <c r="A9" s="7">
        <f t="shared" si="3"/>
        <v>2028</v>
      </c>
      <c r="B9" s="52">
        <v>191276.64319999999</v>
      </c>
      <c r="C9" s="53">
        <v>330000</v>
      </c>
      <c r="D9" s="53">
        <v>566000</v>
      </c>
      <c r="E9" s="53">
        <v>367000</v>
      </c>
      <c r="F9" s="53">
        <v>235000</v>
      </c>
      <c r="G9" s="14">
        <f t="shared" si="0"/>
        <v>1498000</v>
      </c>
      <c r="H9" s="14">
        <f t="shared" si="1"/>
        <v>206665.07209338163</v>
      </c>
      <c r="I9" s="14">
        <f t="shared" si="2"/>
        <v>1291334.9279066185</v>
      </c>
    </row>
    <row r="10" spans="1:9" ht="15.75" customHeight="1" x14ac:dyDescent="0.2">
      <c r="A10" s="7">
        <f t="shared" si="3"/>
        <v>2029</v>
      </c>
      <c r="B10" s="52">
        <v>193414.48620000001</v>
      </c>
      <c r="C10" s="53">
        <v>334000</v>
      </c>
      <c r="D10" s="53">
        <v>580000</v>
      </c>
      <c r="E10" s="53">
        <v>384000</v>
      </c>
      <c r="F10" s="53">
        <v>242000</v>
      </c>
      <c r="G10" s="14">
        <f t="shared" si="0"/>
        <v>1540000</v>
      </c>
      <c r="H10" s="14">
        <f t="shared" si="1"/>
        <v>208974.90705455549</v>
      </c>
      <c r="I10" s="14">
        <f t="shared" si="2"/>
        <v>1331025.0929454444</v>
      </c>
    </row>
    <row r="11" spans="1:9" ht="15.75" customHeight="1" x14ac:dyDescent="0.2">
      <c r="A11" s="7">
        <f t="shared" si="3"/>
        <v>2030</v>
      </c>
      <c r="B11" s="52">
        <v>195527.07199999999</v>
      </c>
      <c r="C11" s="53">
        <v>337000</v>
      </c>
      <c r="D11" s="53">
        <v>592000</v>
      </c>
      <c r="E11" s="53">
        <v>401000</v>
      </c>
      <c r="F11" s="53">
        <v>250000</v>
      </c>
      <c r="G11" s="14">
        <f t="shared" si="0"/>
        <v>1580000</v>
      </c>
      <c r="H11" s="14">
        <f t="shared" si="1"/>
        <v>211257.45284455002</v>
      </c>
      <c r="I11" s="14">
        <f t="shared" si="2"/>
        <v>1368742.5471554501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hMJdYZHIM2mAVpzTP9oAi5V/2E78Qv1vcb1yxcVCy0RFKTNDQUJsyVNFfa1sHUEntFn0UpsyT/5xWlIwhCwmw==" saltValue="iMNno6Hew57kewrR+kvCx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Kaz/nyxleDYLiSZbHZuSy6Pup0HRh1lCCM8B0DzsPrgZsA8GmBXDDifV5WDEA9lPW4aT9wbDW7l9t0kxxLc0DQ==" saltValue="mdzF73cNcbFfztDxcJbo9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/xRYWf/HOwW733ho99eqwCJMzG/Tx4S0Qj0jbWJ0W1ktfvncY7uv6ZicWqsDy7Qt+/UcwlDGu45ozaZ2DNs61g==" saltValue="Ftwp7s3MyFF4qrOXAFzj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ISJU14+Apv998JpLtozalJd3t4/OkTLyXPa0hQrE+I6rqa/7XmHgK118l08Qa2ctjefC2vU6kj/PHMuAIDqfA==" saltValue="zvqSYmXidjdorOT9DAcJ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xFHNw7PttPCw/JXhs9zlo0pR0l0aljbPf+HkvUqtFz5jYWXaL4Tejo5NArSeJ+g1E8TJdJW1P64coq0DXYJZA==" saltValue="conF3eATw6jukriM9mEd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MAcI0x2x6hXRgxJKN6KwuG3kmMk+oB1oIB0G8fcOKO52fkpKufVIOrvHjHfKd50meHRYJw8aZQthCGgBljlIaQ==" saltValue="ZaWG/3chDRdcoGb6/ARf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ec2a+RW36nYNWXIlewO1dhO2UhVcnC805ddXqKlFFszt41H3rWc/1cDBX9jXDT9QEE6d7GRAXdxIKWCkOa+Jg==" saltValue="sSTPf9RXMwbCTvG5R6w4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N5+XIdhbOtTsiM+GSKpvxT8p/Rk5nAtDtGPdTyHCSGrN5bmHCIcDecjGZdqk7h5QvG1wQmJibbU8D5BlmzqXQ==" saltValue="N/VUIb/JrXK+n0Qe8osU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J8epYqeaW4OciSnPkSnHOgweo5oGN1RWJDP2Qx/uhpCkhNWo6oBwwXpzF/ilEhVavWKov1AO70AYJVlzL9TBg==" saltValue="907t41QcFuCnTg1yaszL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TdLiQnpTeKElLAQ6WymPxt62849EXV08qO8xP6JlLU+xv8QB3lLN2qKywpANJylCWbwM2rTuIAhQTZ1nYkpKA==" saltValue="zBGI+9bbPuZIBDL6FwL82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9.2187999864551898E-3</v>
      </c>
    </row>
    <row r="4" spans="1:8" ht="15.75" customHeight="1" x14ac:dyDescent="0.2">
      <c r="B4" s="16" t="s">
        <v>79</v>
      </c>
      <c r="C4" s="54">
        <v>0.15512116525038569</v>
      </c>
    </row>
    <row r="5" spans="1:8" ht="15.75" customHeight="1" x14ac:dyDescent="0.2">
      <c r="B5" s="16" t="s">
        <v>80</v>
      </c>
      <c r="C5" s="54">
        <v>7.305319162171324E-2</v>
      </c>
    </row>
    <row r="6" spans="1:8" ht="15.75" customHeight="1" x14ac:dyDescent="0.2">
      <c r="B6" s="16" t="s">
        <v>81</v>
      </c>
      <c r="C6" s="54">
        <v>0.3024204826278003</v>
      </c>
    </row>
    <row r="7" spans="1:8" ht="15.75" customHeight="1" x14ac:dyDescent="0.2">
      <c r="B7" s="16" t="s">
        <v>82</v>
      </c>
      <c r="C7" s="54">
        <v>0.3045895632128986</v>
      </c>
    </row>
    <row r="8" spans="1:8" ht="15.75" customHeight="1" x14ac:dyDescent="0.2">
      <c r="B8" s="16" t="s">
        <v>83</v>
      </c>
      <c r="C8" s="54">
        <v>3.4776688210666457E-2</v>
      </c>
    </row>
    <row r="9" spans="1:8" ht="15.75" customHeight="1" x14ac:dyDescent="0.2">
      <c r="B9" s="16" t="s">
        <v>84</v>
      </c>
      <c r="C9" s="54">
        <v>5.465318979156266E-2</v>
      </c>
    </row>
    <row r="10" spans="1:8" ht="15.75" customHeight="1" x14ac:dyDescent="0.2">
      <c r="B10" s="16" t="s">
        <v>85</v>
      </c>
      <c r="C10" s="54">
        <v>6.6166919298517868E-2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0.1385197599514478</v>
      </c>
      <c r="D14" s="54">
        <v>0.1385197599514478</v>
      </c>
      <c r="E14" s="54">
        <v>0.1385197599514478</v>
      </c>
      <c r="F14" s="54">
        <v>0.1385197599514478</v>
      </c>
    </row>
    <row r="15" spans="1:8" ht="15.75" customHeight="1" x14ac:dyDescent="0.2">
      <c r="B15" s="16" t="s">
        <v>88</v>
      </c>
      <c r="C15" s="54">
        <v>0.19890572896860051</v>
      </c>
      <c r="D15" s="54">
        <v>0.19890572896860051</v>
      </c>
      <c r="E15" s="54">
        <v>0.19890572896860051</v>
      </c>
      <c r="F15" s="54">
        <v>0.19890572896860051</v>
      </c>
    </row>
    <row r="16" spans="1:8" ht="15.75" customHeight="1" x14ac:dyDescent="0.2">
      <c r="B16" s="16" t="s">
        <v>89</v>
      </c>
      <c r="C16" s="54">
        <v>4.5049487602618579E-2</v>
      </c>
      <c r="D16" s="54">
        <v>4.5049487602618579E-2</v>
      </c>
      <c r="E16" s="54">
        <v>4.5049487602618579E-2</v>
      </c>
      <c r="F16" s="54">
        <v>4.5049487602618579E-2</v>
      </c>
    </row>
    <row r="17" spans="1:8" ht="15.75" customHeight="1" x14ac:dyDescent="0.2">
      <c r="B17" s="16" t="s">
        <v>90</v>
      </c>
      <c r="C17" s="54">
        <v>4.1903916543905802E-2</v>
      </c>
      <c r="D17" s="54">
        <v>4.1903916543905802E-2</v>
      </c>
      <c r="E17" s="54">
        <v>4.1903916543905802E-2</v>
      </c>
      <c r="F17" s="54">
        <v>4.1903916543905802E-2</v>
      </c>
    </row>
    <row r="18" spans="1:8" ht="15.75" customHeight="1" x14ac:dyDescent="0.2">
      <c r="B18" s="16" t="s">
        <v>91</v>
      </c>
      <c r="C18" s="54">
        <v>0.26716495745025559</v>
      </c>
      <c r="D18" s="54">
        <v>0.26716495745025559</v>
      </c>
      <c r="E18" s="54">
        <v>0.26716495745025559</v>
      </c>
      <c r="F18" s="54">
        <v>0.26716495745025559</v>
      </c>
    </row>
    <row r="19" spans="1:8" ht="15.75" customHeight="1" x14ac:dyDescent="0.2">
      <c r="B19" s="16" t="s">
        <v>92</v>
      </c>
      <c r="C19" s="54">
        <v>1.099603830576841E-2</v>
      </c>
      <c r="D19" s="54">
        <v>1.099603830576841E-2</v>
      </c>
      <c r="E19" s="54">
        <v>1.099603830576841E-2</v>
      </c>
      <c r="F19" s="54">
        <v>1.099603830576841E-2</v>
      </c>
    </row>
    <row r="20" spans="1:8" ht="15.75" customHeight="1" x14ac:dyDescent="0.2">
      <c r="B20" s="16" t="s">
        <v>93</v>
      </c>
      <c r="C20" s="54">
        <v>2.5382400973572479E-2</v>
      </c>
      <c r="D20" s="54">
        <v>2.5382400973572479E-2</v>
      </c>
      <c r="E20" s="54">
        <v>2.5382400973572479E-2</v>
      </c>
      <c r="F20" s="54">
        <v>2.5382400973572479E-2</v>
      </c>
    </row>
    <row r="21" spans="1:8" ht="15.75" customHeight="1" x14ac:dyDescent="0.2">
      <c r="B21" s="16" t="s">
        <v>94</v>
      </c>
      <c r="C21" s="54">
        <v>6.1781025668758302E-2</v>
      </c>
      <c r="D21" s="54">
        <v>6.1781025668758302E-2</v>
      </c>
      <c r="E21" s="54">
        <v>6.1781025668758302E-2</v>
      </c>
      <c r="F21" s="54">
        <v>6.1781025668758302E-2</v>
      </c>
    </row>
    <row r="22" spans="1:8" ht="15.75" customHeight="1" x14ac:dyDescent="0.2">
      <c r="B22" s="16" t="s">
        <v>95</v>
      </c>
      <c r="C22" s="54">
        <v>0.21029668453507261</v>
      </c>
      <c r="D22" s="54">
        <v>0.21029668453507261</v>
      </c>
      <c r="E22" s="54">
        <v>0.21029668453507261</v>
      </c>
      <c r="F22" s="54">
        <v>0.21029668453507261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8.6400000000000005E-2</v>
      </c>
    </row>
    <row r="27" spans="1:8" ht="15.75" customHeight="1" x14ac:dyDescent="0.2">
      <c r="B27" s="16" t="s">
        <v>102</v>
      </c>
      <c r="C27" s="54">
        <v>8.5000000000000006E-3</v>
      </c>
    </row>
    <row r="28" spans="1:8" ht="15.75" customHeight="1" x14ac:dyDescent="0.2">
      <c r="B28" s="16" t="s">
        <v>103</v>
      </c>
      <c r="C28" s="54">
        <v>0.15129999999999999</v>
      </c>
    </row>
    <row r="29" spans="1:8" ht="15.75" customHeight="1" x14ac:dyDescent="0.2">
      <c r="B29" s="16" t="s">
        <v>104</v>
      </c>
      <c r="C29" s="54">
        <v>0.16589999999999999</v>
      </c>
    </row>
    <row r="30" spans="1:8" ht="15.75" customHeight="1" x14ac:dyDescent="0.2">
      <c r="B30" s="16" t="s">
        <v>2</v>
      </c>
      <c r="C30" s="54">
        <v>0.10340000000000001</v>
      </c>
    </row>
    <row r="31" spans="1:8" ht="15.75" customHeight="1" x14ac:dyDescent="0.2">
      <c r="B31" s="16" t="s">
        <v>105</v>
      </c>
      <c r="C31" s="54">
        <v>0.1076</v>
      </c>
    </row>
    <row r="32" spans="1:8" ht="15.75" customHeight="1" x14ac:dyDescent="0.2">
      <c r="B32" s="16" t="s">
        <v>106</v>
      </c>
      <c r="C32" s="54">
        <v>1.84E-2</v>
      </c>
    </row>
    <row r="33" spans="2:3" ht="15.75" customHeight="1" x14ac:dyDescent="0.2">
      <c r="B33" s="16" t="s">
        <v>107</v>
      </c>
      <c r="C33" s="54">
        <v>8.3000000000000004E-2</v>
      </c>
    </row>
    <row r="34" spans="2:3" ht="15.75" customHeight="1" x14ac:dyDescent="0.2">
      <c r="B34" s="16" t="s">
        <v>108</v>
      </c>
      <c r="C34" s="54">
        <v>0.27549999999776481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fpPDX73o+MXnyTXcheJ60CMR4YoHWRqWLrPa1FGDuJEPttYr74EQSqa9qP0HjyahRrGLzmq8q8FJjbUDFgYgpQ==" saltValue="FRmwQp68GLqPxGEou9wg4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0.68400313999999995</v>
      </c>
      <c r="D2" s="55">
        <v>0.68400313999999995</v>
      </c>
      <c r="E2" s="55">
        <v>0.51412773000000001</v>
      </c>
      <c r="F2" s="55">
        <v>0.37123009000000001</v>
      </c>
      <c r="G2" s="55">
        <v>0.2727116</v>
      </c>
    </row>
    <row r="3" spans="1:15" ht="15.75" customHeight="1" x14ac:dyDescent="0.2">
      <c r="B3" s="7" t="s">
        <v>113</v>
      </c>
      <c r="C3" s="55">
        <v>0.18096709999999999</v>
      </c>
      <c r="D3" s="55">
        <v>0.18096709999999999</v>
      </c>
      <c r="E3" s="55">
        <v>0.27773798</v>
      </c>
      <c r="F3" s="55">
        <v>0.25254292</v>
      </c>
      <c r="G3" s="55">
        <v>0.24931249999999999</v>
      </c>
    </row>
    <row r="4" spans="1:15" ht="15.75" customHeight="1" x14ac:dyDescent="0.2">
      <c r="B4" s="7" t="s">
        <v>114</v>
      </c>
      <c r="C4" s="56">
        <v>9.4684276999999997E-2</v>
      </c>
      <c r="D4" s="56">
        <v>9.4684276999999997E-2</v>
      </c>
      <c r="E4" s="56">
        <v>0.12541483</v>
      </c>
      <c r="F4" s="56">
        <v>0.20625653999999999</v>
      </c>
      <c r="G4" s="56">
        <v>0.22179442999999999</v>
      </c>
    </row>
    <row r="5" spans="1:15" ht="15.75" customHeight="1" x14ac:dyDescent="0.2">
      <c r="B5" s="7" t="s">
        <v>115</v>
      </c>
      <c r="C5" s="56">
        <v>4.0345515999999998E-2</v>
      </c>
      <c r="D5" s="56">
        <v>4.0345515999999998E-2</v>
      </c>
      <c r="E5" s="56">
        <v>8.2719479000000012E-2</v>
      </c>
      <c r="F5" s="56">
        <v>0.16997044</v>
      </c>
      <c r="G5" s="56">
        <v>0.25618144999999998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0.77888367000000003</v>
      </c>
      <c r="D8" s="55">
        <v>0.77888367000000003</v>
      </c>
      <c r="E8" s="55">
        <v>0.70479645000000002</v>
      </c>
      <c r="F8" s="55">
        <v>0.70591064000000003</v>
      </c>
      <c r="G8" s="55">
        <v>0.81539375000000003</v>
      </c>
    </row>
    <row r="9" spans="1:15" ht="15.75" customHeight="1" x14ac:dyDescent="0.2">
      <c r="B9" s="7" t="s">
        <v>118</v>
      </c>
      <c r="C9" s="55">
        <v>0.14778566000000001</v>
      </c>
      <c r="D9" s="55">
        <v>0.14778566000000001</v>
      </c>
      <c r="E9" s="55">
        <v>0.20527392999999999</v>
      </c>
      <c r="F9" s="55">
        <v>0.21926174000000001</v>
      </c>
      <c r="G9" s="55">
        <v>0.14615610000000001</v>
      </c>
    </row>
    <row r="10" spans="1:15" ht="15.75" customHeight="1" x14ac:dyDescent="0.2">
      <c r="B10" s="7" t="s">
        <v>119</v>
      </c>
      <c r="C10" s="56">
        <v>4.1724138000000001E-2</v>
      </c>
      <c r="D10" s="56">
        <v>4.1724138000000001E-2</v>
      </c>
      <c r="E10" s="56">
        <v>7.1251816999999995E-2</v>
      </c>
      <c r="F10" s="56">
        <v>5.3818811999999987E-2</v>
      </c>
      <c r="G10" s="56">
        <v>2.8392065000000001E-2</v>
      </c>
    </row>
    <row r="11" spans="1:15" ht="15.75" customHeight="1" x14ac:dyDescent="0.2">
      <c r="B11" s="7" t="s">
        <v>120</v>
      </c>
      <c r="C11" s="56">
        <v>3.1606491E-2</v>
      </c>
      <c r="D11" s="56">
        <v>3.1606491E-2</v>
      </c>
      <c r="E11" s="56">
        <v>1.8677814000000001E-2</v>
      </c>
      <c r="F11" s="56">
        <v>2.1008806000000001E-2</v>
      </c>
      <c r="G11" s="56">
        <v>1.0058065999999999E-2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0.82913434649999995</v>
      </c>
      <c r="D14" s="57">
        <v>0.83222591652800004</v>
      </c>
      <c r="E14" s="57">
        <v>0.83222591652800004</v>
      </c>
      <c r="F14" s="57">
        <v>0.69540820231900002</v>
      </c>
      <c r="G14" s="57">
        <v>0.69540820231900002</v>
      </c>
      <c r="H14" s="58">
        <v>0.52300000000000002</v>
      </c>
      <c r="I14" s="58">
        <v>0.52300000000000002</v>
      </c>
      <c r="J14" s="58">
        <v>0.52300000000000002</v>
      </c>
      <c r="K14" s="58">
        <v>0.52300000000000002</v>
      </c>
      <c r="L14" s="58">
        <v>0.49429129585699999</v>
      </c>
      <c r="M14" s="58">
        <v>0.28875713057149999</v>
      </c>
      <c r="N14" s="58">
        <v>0.31582877142249999</v>
      </c>
      <c r="O14" s="58">
        <v>0.38414925990150001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0.37015639765896657</v>
      </c>
      <c r="D15" s="55">
        <f t="shared" si="0"/>
        <v>0.37153658945720242</v>
      </c>
      <c r="E15" s="55">
        <f t="shared" si="0"/>
        <v>0.37153658945720242</v>
      </c>
      <c r="F15" s="55">
        <f t="shared" si="0"/>
        <v>0.31045607525426383</v>
      </c>
      <c r="G15" s="55">
        <f t="shared" si="0"/>
        <v>0.31045607525426383</v>
      </c>
      <c r="H15" s="55">
        <f t="shared" si="0"/>
        <v>0.23348664398338195</v>
      </c>
      <c r="I15" s="55">
        <f t="shared" si="0"/>
        <v>0.23348664398338195</v>
      </c>
      <c r="J15" s="55">
        <f t="shared" si="0"/>
        <v>0.23348664398338195</v>
      </c>
      <c r="K15" s="55">
        <f t="shared" si="0"/>
        <v>0.23348664398338195</v>
      </c>
      <c r="L15" s="55">
        <f t="shared" si="0"/>
        <v>0.22067001112781617</v>
      </c>
      <c r="M15" s="55">
        <f t="shared" si="0"/>
        <v>0.12891191843864389</v>
      </c>
      <c r="N15" s="55">
        <f t="shared" si="0"/>
        <v>0.140997705378268</v>
      </c>
      <c r="O15" s="55">
        <f t="shared" si="0"/>
        <v>0.17149851143996403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3tP9OCn5DOMeYWdh3EUWQ2Ce49DAWkpGvw30/PLRtHCy+0jl2t4N3aGPDADg6ALIS6h8rTPovWVczg/GiJZjgw==" saltValue="imBwCKl0mDvwHCt6k3zY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0.68534889219999995</v>
      </c>
      <c r="D2" s="56">
        <v>0.30438064999999997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0.17904148</v>
      </c>
      <c r="D3" s="56">
        <v>0.20097797000000001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0.11440976999999999</v>
      </c>
      <c r="D4" s="56">
        <v>0.46895798</v>
      </c>
      <c r="E4" s="56">
        <v>0.93621098995208696</v>
      </c>
      <c r="F4" s="56">
        <v>0.65972477197647095</v>
      </c>
      <c r="G4" s="56">
        <v>0</v>
      </c>
    </row>
    <row r="5" spans="1:7" x14ac:dyDescent="0.2">
      <c r="B5" s="98" t="s">
        <v>132</v>
      </c>
      <c r="C5" s="55">
        <v>2.11998578000001E-2</v>
      </c>
      <c r="D5" s="55">
        <v>2.5683400000000099E-2</v>
      </c>
      <c r="E5" s="55">
        <v>6.3789010047913028E-2</v>
      </c>
      <c r="F5" s="55">
        <v>0.34027522802352911</v>
      </c>
      <c r="G5" s="55">
        <v>1</v>
      </c>
    </row>
  </sheetData>
  <sheetProtection algorithmName="SHA-512" hashValue="YiTm57tpSs0LSRpjUKTXkU6pvFd7q1F5uctK9mnIKTsncO9R8NWR2I6VqF9PMRY4kIqqJSzFacbN7Jb2PDL+cA==" saltValue="Nk4sSC9OK2+dYagczm22o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/ieTdPLNLlDckix+QOKDMoM4BFNtIwCy2+KIp6Wj+cnIHJxVKUuUfgGAY8VaMQVKILWIPj2Wp/LSZGqnltnzgQ==" saltValue="IRBOhFI8lvtwYxjVgriWo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DBwW+AfEg1+3S2d9og+D75tEnKXIWVtlAqCcT3Hto3PO8BKEpala63KRdySOPrUklLtN5PiCqrIyHHWWmtOEw==" saltValue="OW33VDhPIe6sn9UVLrQ1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AEEa7pcQ7hJ75h5kGCMc3tFISx1LuxapeL9Nfch9sGG37+JoTPw9w6uYJINXRHRrwdN3i09veXqy8ug0sjtLIw==" saltValue="wxwF+KDbhnzhPgbSkmfW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Yv73XxHi6KCb2OU3Q5QknK8YGU9ELOH3YRKTOkklrs5jFszNg4GWhcwowrNbH6GKQPrMdkDDdf4+kuZRAvuVA==" saltValue="CeINqGis6mICdSeVmrsp8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2022-02-02T06:41:50Z</dcterms:modified>
</cp:coreProperties>
</file>