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D9EDFF49-3BCF-43B3-83DF-7F0245D7386A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19" i="2"/>
  <c r="A18" i="2"/>
  <c r="H11" i="2"/>
  <c r="G11" i="2"/>
  <c r="H10" i="2"/>
  <c r="G10" i="2"/>
  <c r="H9" i="2"/>
  <c r="G9" i="2"/>
  <c r="I9" i="2" s="1"/>
  <c r="H8" i="2"/>
  <c r="G8" i="2"/>
  <c r="H7" i="2"/>
  <c r="G7" i="2"/>
  <c r="H6" i="2"/>
  <c r="G6" i="2"/>
  <c r="H5" i="2"/>
  <c r="G5" i="2"/>
  <c r="I5" i="2" s="1"/>
  <c r="H4" i="2"/>
  <c r="G4" i="2"/>
  <c r="H3" i="2"/>
  <c r="G3" i="2"/>
  <c r="H2" i="2"/>
  <c r="G2" i="2"/>
  <c r="A2" i="2"/>
  <c r="A32" i="2" s="1"/>
  <c r="C33" i="1"/>
  <c r="C20" i="1"/>
  <c r="A34" i="2" l="1"/>
  <c r="A27" i="2"/>
  <c r="A35" i="2"/>
  <c r="I4" i="2"/>
  <c r="I8" i="2"/>
  <c r="A17" i="2"/>
  <c r="I39" i="2"/>
  <c r="A25" i="2"/>
  <c r="I2" i="2"/>
  <c r="I6" i="2"/>
  <c r="I10" i="2"/>
  <c r="A26" i="2"/>
  <c r="A39" i="2"/>
  <c r="I3" i="2"/>
  <c r="I7" i="2"/>
  <c r="I11" i="2"/>
  <c r="A33" i="2"/>
  <c r="A36" i="2"/>
  <c r="A28" i="2"/>
  <c r="A29" i="2"/>
  <c r="A12" i="2"/>
  <c r="A20" i="2"/>
  <c r="A13" i="2"/>
  <c r="A21" i="2"/>
  <c r="A37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<sst xmlns="http://schemas.openxmlformats.org/spreadsheetml/2006/main" count="2092" uniqueCount="337">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</sst>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85694.57421875</v>
      </c>
    </row>
    <row r="8" spans="1:3" ht="15" customHeight="1" x14ac:dyDescent="0.2">
      <c r="B8" s="7" t="s">
        <v>19</v>
      </c>
      <c r="C8" s="46">
        <v>0.127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0.85866676330566405</v>
      </c>
    </row>
    <row r="11" spans="1:3" ht="15" customHeight="1" x14ac:dyDescent="0.2">
      <c r="B11" s="7" t="s">
        <v>22</v>
      </c>
      <c r="C11" s="46">
        <v>0.86699999999999999</v>
      </c>
    </row>
    <row r="12" spans="1:3" ht="15" customHeight="1" x14ac:dyDescent="0.2">
      <c r="B12" s="7" t="s">
        <v>23</v>
      </c>
      <c r="C12" s="46">
        <v>0.83599999999999997</v>
      </c>
    </row>
    <row r="13" spans="1:3" ht="15" customHeight="1" x14ac:dyDescent="0.2">
      <c r="B13" s="7" t="s">
        <v>24</v>
      </c>
      <c r="C13" s="46">
        <v>0.47499999999999998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0.17369999999999999</v>
      </c>
    </row>
    <row r="24" spans="1:3" ht="15" customHeight="1" x14ac:dyDescent="0.2">
      <c r="B24" s="12" t="s">
        <v>33</v>
      </c>
      <c r="C24" s="47">
        <v>0.52529999999999999</v>
      </c>
    </row>
    <row r="25" spans="1:3" ht="15" customHeight="1" x14ac:dyDescent="0.2">
      <c r="B25" s="12" t="s">
        <v>34</v>
      </c>
      <c r="C25" s="47">
        <v>0.26540000000000002</v>
      </c>
    </row>
    <row r="26" spans="1:3" ht="15" customHeight="1" x14ac:dyDescent="0.2">
      <c r="B26" s="12" t="s">
        <v>35</v>
      </c>
      <c r="C26" s="47">
        <v>3.5600000000000007E-2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0.33100000000000002</v>
      </c>
    </row>
    <row r="30" spans="1:3" ht="14.25" customHeight="1" x14ac:dyDescent="0.2">
      <c r="B30" s="22" t="s">
        <v>38</v>
      </c>
      <c r="C30" s="49">
        <v>6.2E-2</v>
      </c>
    </row>
    <row r="31" spans="1:3" ht="14.25" customHeight="1" x14ac:dyDescent="0.2">
      <c r="B31" s="22" t="s">
        <v>39</v>
      </c>
      <c r="C31" s="49">
        <v>0.12</v>
      </c>
    </row>
    <row r="32" spans="1:3" ht="14.25" customHeight="1" x14ac:dyDescent="0.2">
      <c r="B32" s="22" t="s">
        <v>40</v>
      </c>
      <c r="C32" s="49">
        <v>0.48699999999999999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18.600199729681801</v>
      </c>
    </row>
    <row r="38" spans="1:5" ht="15" customHeight="1" x14ac:dyDescent="0.2">
      <c r="B38" s="28" t="s">
        <v>45</v>
      </c>
      <c r="C38" s="117">
        <v>24.4369814181773</v>
      </c>
      <c r="D38" s="9"/>
      <c r="E38" s="10"/>
    </row>
    <row r="39" spans="1:5" ht="15" customHeight="1" x14ac:dyDescent="0.2">
      <c r="B39" s="28" t="s">
        <v>46</v>
      </c>
      <c r="C39" s="117">
        <v>29.251238131398701</v>
      </c>
      <c r="D39" s="9"/>
      <c r="E39" s="9"/>
    </row>
    <row r="40" spans="1:5" ht="15" customHeight="1" x14ac:dyDescent="0.2">
      <c r="B40" s="28" t="s">
        <v>47</v>
      </c>
      <c r="C40" s="117">
        <v>169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13.826618249999999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2.7612899999999999E-2</v>
      </c>
      <c r="D45" s="9"/>
    </row>
    <row r="46" spans="1:5" ht="15.75" customHeight="1" x14ac:dyDescent="0.2">
      <c r="B46" s="28" t="s">
        <v>52</v>
      </c>
      <c r="C46" s="47">
        <v>0.10480929999999999</v>
      </c>
      <c r="D46" s="9"/>
    </row>
    <row r="47" spans="1:5" ht="15.75" customHeight="1" x14ac:dyDescent="0.2">
      <c r="B47" s="28" t="s">
        <v>53</v>
      </c>
      <c r="C47" s="47">
        <v>0.1632912</v>
      </c>
      <c r="D47" s="9"/>
      <c r="E47" s="10"/>
    </row>
    <row r="48" spans="1:5" ht="15" customHeight="1" x14ac:dyDescent="0.2">
      <c r="B48" s="28" t="s">
        <v>54</v>
      </c>
      <c r="C48" s="48">
        <v>0.70428659999999998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3.2</v>
      </c>
      <c r="D51" s="9"/>
    </row>
    <row r="52" spans="1:4" ht="15" customHeight="1" x14ac:dyDescent="0.2">
      <c r="B52" s="28" t="s">
        <v>57</v>
      </c>
      <c r="C52" s="51">
        <v>3.2</v>
      </c>
    </row>
    <row r="53" spans="1:4" ht="15.75" customHeight="1" x14ac:dyDescent="0.2">
      <c r="B53" s="28" t="s">
        <v>58</v>
      </c>
      <c r="C53" s="51">
        <v>3.2</v>
      </c>
    </row>
    <row r="54" spans="1:4" ht="15.75" customHeight="1" x14ac:dyDescent="0.2">
      <c r="B54" s="28" t="s">
        <v>59</v>
      </c>
      <c r="C54" s="51">
        <v>3.2</v>
      </c>
    </row>
    <row r="55" spans="1:4" ht="15.75" customHeight="1" x14ac:dyDescent="0.2">
      <c r="B55" s="28" t="s">
        <v>60</v>
      </c>
      <c r="C55" s="51">
        <v>3.2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1.934703748488513E-2</v>
      </c>
    </row>
    <row r="59" spans="1:4" ht="15.75" customHeight="1" x14ac:dyDescent="0.2">
      <c r="B59" s="28" t="s">
        <v>63</v>
      </c>
      <c r="C59" s="46">
        <v>0.47322021795857949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15.618451</v>
      </c>
    </row>
    <row r="63" spans="1:4" ht="15.75" customHeight="1" x14ac:dyDescent="0.2">
      <c r="A63" s="39"/>
    </row>
  </sheetData>
  <sheetProtection algorithmName="SHA-512" hashValue="boyvwJFikbR9a5xChsP+gsvC3Uhw0bWTlcQsRNr1D63gOGmI7BzJoLYmcCrs76PPiFiq9MBVSshQpHpu/XobmQ==" saltValue="lUw1yehVX/NveLfjJgAv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0.208326640948057</v>
      </c>
      <c r="C2" s="115">
        <v>0.95</v>
      </c>
      <c r="D2" s="116">
        <v>60.485902574974247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39.935189433056237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452.91394116290678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0.70869763079820258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13.067488876852151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13.067488876852151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13.067488876852151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13.067488876852151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13.067488876852151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13.067488876852151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6.8862699999999999E-2</v>
      </c>
      <c r="C16" s="115">
        <v>0.95</v>
      </c>
      <c r="D16" s="116">
        <v>0.77775449539503461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0.40285890000000002</v>
      </c>
      <c r="C18" s="115">
        <v>0.95</v>
      </c>
      <c r="D18" s="116">
        <v>10.429698010738489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0.40285890000000002</v>
      </c>
      <c r="C19" s="115">
        <v>0.95</v>
      </c>
      <c r="D19" s="116">
        <v>10.429698010738489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0.92731700000000006</v>
      </c>
      <c r="C21" s="115">
        <v>0.95</v>
      </c>
      <c r="D21" s="116">
        <v>7.1524381906876151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22.579312803378102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4.3139060578863351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0.69392995017169989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0.34228006005287198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18.690391823443861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1.28821805119515E-2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0.52600000000000002</v>
      </c>
      <c r="C29" s="115">
        <v>0.95</v>
      </c>
      <c r="D29" s="116">
        <v>119.254602366377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1.867912036673709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1.6681309666930351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0.43048805239999999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5.2999999999999999E-2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0.65359572419241407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0.77159414922244196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2.4011122949653489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0.85763101501516403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hrhSbn5WwOywnDuaQcNhKtMnUl/1iHnrwa+VgBZ6SP/rTATkz05nW+OqHiSCdiVGTCod6noicHdDuAwmU1vUSQ==" saltValue="LWhSSqr8nOqN5o2oixYm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Da56HckdvrtSPkSZbFDz3WC65Hb7zCJzDHxXAaxa/VgmbeoI3qpWvb/UehABNCzZIwfx4kdbDTtW+IC8YJeoBw==" saltValue="mj+4+sHxMf89sOwOdwYD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peeLpaS83mdc5uyKW+3iTCuOIk+XSSOpsEETWMnQTuO0IO6hZ4yVL/3nr0nzuTvz3Xo2ELlhI7g+KR7gOZ5DJQ==" saltValue="2EUwu3fGEkMHePoE/WklD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">
      <c r="A3" s="4" t="s">
        <v>209</v>
      </c>
      <c r="B3" s="18">
        <f>frac_mam_1month * 2.6</f>
        <v>0.12967841550707809</v>
      </c>
      <c r="C3" s="18">
        <f>frac_mam_1_5months * 2.6</f>
        <v>0.12967841550707809</v>
      </c>
      <c r="D3" s="18">
        <f>frac_mam_6_11months * 2.6</f>
        <v>0.15177383050322532</v>
      </c>
      <c r="E3" s="18">
        <f>frac_mam_12_23months * 2.6</f>
        <v>9.3613449484109879E-2</v>
      </c>
      <c r="F3" s="18">
        <f>frac_mam_24_59months * 2.6</f>
        <v>0.12608858421444893</v>
      </c>
    </row>
    <row r="4" spans="1:6" ht="15.75" customHeight="1" x14ac:dyDescent="0.2">
      <c r="A4" s="4" t="s">
        <v>208</v>
      </c>
      <c r="B4" s="18">
        <f>frac_sam_1month * 2.6</f>
        <v>5.9378301724791402E-2</v>
      </c>
      <c r="C4" s="18">
        <f>frac_sam_1_5months * 2.6</f>
        <v>5.9378301724791402E-2</v>
      </c>
      <c r="D4" s="18">
        <f>frac_sam_6_11months * 2.6</f>
        <v>4.9492134153842904E-2</v>
      </c>
      <c r="E4" s="18">
        <f>frac_sam_12_23months * 2.6</f>
        <v>4.3826863542199147E-2</v>
      </c>
      <c r="F4" s="18">
        <f>frac_sam_24_59months * 2.6</f>
        <v>4.17029663920402E-2</v>
      </c>
    </row>
  </sheetData>
  <sheetProtection algorithmName="SHA-512" hashValue="ZTyjJ43n4uk/BTXR/7FBRWvzpfQqjXzAzDgoLWaycqkZgxrB9B9DOsSbs8ikykyIs15UzwMS14MBkF2t/vnVdA==" saltValue="0NZxiJg8hLtySD0efxLL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0.127</v>
      </c>
      <c r="E2" s="65">
        <f>food_insecure</f>
        <v>0.127</v>
      </c>
      <c r="F2" s="65">
        <f>food_insecure</f>
        <v>0.127</v>
      </c>
      <c r="G2" s="65">
        <f>food_insecure</f>
        <v>0.127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0.127</v>
      </c>
      <c r="F5" s="65">
        <f>food_insecure</f>
        <v>0.127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0.127</v>
      </c>
      <c r="F8" s="65">
        <f>food_insecure</f>
        <v>0.127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0.127</v>
      </c>
      <c r="F9" s="65">
        <f>food_insecure</f>
        <v>0.127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0.83599999999999997</v>
      </c>
      <c r="E10" s="65">
        <f>IF(ISBLANK(comm_deliv), frac_children_health_facility,1)</f>
        <v>0.83599999999999997</v>
      </c>
      <c r="F10" s="65">
        <f>IF(ISBLANK(comm_deliv), frac_children_health_facility,1)</f>
        <v>0.83599999999999997</v>
      </c>
      <c r="G10" s="65">
        <f>IF(ISBLANK(comm_deliv), frac_children_health_facility,1)</f>
        <v>0.83599999999999997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0.127</v>
      </c>
      <c r="I15" s="65">
        <f>food_insecure</f>
        <v>0.127</v>
      </c>
      <c r="J15" s="65">
        <f>food_insecure</f>
        <v>0.127</v>
      </c>
      <c r="K15" s="65">
        <f>food_insecure</f>
        <v>0.127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0.86699999999999999</v>
      </c>
      <c r="I18" s="65">
        <f>frac_PW_health_facility</f>
        <v>0.86699999999999999</v>
      </c>
      <c r="J18" s="65">
        <f>frac_PW_health_facility</f>
        <v>0.86699999999999999</v>
      </c>
      <c r="K18" s="65">
        <f>frac_PW_health_facility</f>
        <v>0.86699999999999999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0.47499999999999998</v>
      </c>
      <c r="M24" s="65">
        <f>famplan_unmet_need</f>
        <v>0.47499999999999998</v>
      </c>
      <c r="N24" s="65">
        <f>famplan_unmet_need</f>
        <v>0.47499999999999998</v>
      </c>
      <c r="O24" s="65">
        <f>famplan_unmet_need</f>
        <v>0.47499999999999998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7.3022643402862547E-2</v>
      </c>
      <c r="M25" s="65">
        <f>(1-food_insecure)*(0.49)+food_insecure*(0.7)</f>
        <v>0.51666999999999996</v>
      </c>
      <c r="N25" s="65">
        <f>(1-food_insecure)*(0.49)+food_insecure*(0.7)</f>
        <v>0.51666999999999996</v>
      </c>
      <c r="O25" s="65">
        <f>(1-food_insecure)*(0.49)+food_insecure*(0.7)</f>
        <v>0.51666999999999996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3.129541860122681E-2</v>
      </c>
      <c r="M26" s="65">
        <f>(1-food_insecure)*(0.21)+food_insecure*(0.3)</f>
        <v>0.22142999999999999</v>
      </c>
      <c r="N26" s="65">
        <f>(1-food_insecure)*(0.21)+food_insecure*(0.3)</f>
        <v>0.22142999999999999</v>
      </c>
      <c r="O26" s="65">
        <f>(1-food_insecure)*(0.21)+food_insecure*(0.3)</f>
        <v>0.22142999999999999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3.701517469024658E-2</v>
      </c>
      <c r="M27" s="65">
        <f>(1-food_insecure)*(0.3)</f>
        <v>0.26189999999999997</v>
      </c>
      <c r="N27" s="65">
        <f>(1-food_insecure)*(0.3)</f>
        <v>0.26189999999999997</v>
      </c>
      <c r="O27" s="65">
        <f>(1-food_insecure)*(0.3)</f>
        <v>0.26189999999999997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0.85866676330566405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R10A5jCDQ6iIbt6MvYy7uYGnfowVknVR/Uj+3HY0W7XmJB2pPFp7/xEvCYE/RDwZEOr0I5j3kCKVXf2nSAzyEg==" saltValue="Zoe3QgaHAjBoxTt2YKST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EYQq/Jih/VoGPLLcKfSNFWTQobDfhU5dNXwaHU08yW0s+D1OM9SjwUatieZZfbV1zcgP2kSfKrf6e2TGulznRw==" saltValue="yPOAQydRgjgFL/vr+QFEW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9iIZcCvNxJ94NLkHhE91ZlTakwy09+GRB18f6H199ex5cEb4yEKjj1CC56hFWbkWzFMlZM0k2bi3Ye8Irs3fVA==" saltValue="NuzQtxwXaDUfrdYTMJlS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y+XFw1iL2cOsC6EmOwiFJwqz7wrv93tYNsts7EExrRIXlVVbOj8tNH9m1J+suzG+lWYPieRp7sCvFzV/n06eYQ==" saltValue="3bibxJsHRKmhcfMbK5HFQ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FLpr/6RXHNMkV6Q7AmkDv3fsXSqF7cP/E+7MMTOtg+ZQEdmBlj8tWuSqPI8YDZBgLVij5uJPqlDXXIHlE8kMPA==" saltValue="O9idFxJgh2+tYxYfZQdAx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uChl6domnlKzBOslvYfjM9sZKllfLVWYXlgOvD8tL73xXKfGANfQf9ZN2hfHY6BcbL74jiUHIvQAyVywPeiaIQ==" saltValue="fOd9olnelbnlOi8kWysPz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15459.888000000001</v>
      </c>
      <c r="C2" s="53">
        <v>36000</v>
      </c>
      <c r="D2" s="53">
        <v>73000</v>
      </c>
      <c r="E2" s="53">
        <v>46000</v>
      </c>
      <c r="F2" s="53">
        <v>48000</v>
      </c>
      <c r="G2" s="14">
        <f t="shared" ref="G2:G11" si="0">C2+D2+E2+F2</f>
        <v>203000</v>
      </c>
      <c r="H2" s="14">
        <f t="shared" ref="H2:H11" si="1">(B2 + stillbirth*B2/(1000-stillbirth))/(1-abortion)</f>
        <v>16432.539787857982</v>
      </c>
      <c r="I2" s="14">
        <f t="shared" ref="I2:I11" si="2">G2-H2</f>
        <v>186567.46021214203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15323.0622</v>
      </c>
      <c r="C3" s="53">
        <v>35000</v>
      </c>
      <c r="D3" s="53">
        <v>73000</v>
      </c>
      <c r="E3" s="53">
        <v>48000</v>
      </c>
      <c r="F3" s="53">
        <v>49000</v>
      </c>
      <c r="G3" s="14">
        <f t="shared" si="0"/>
        <v>205000</v>
      </c>
      <c r="H3" s="14">
        <f t="shared" si="1"/>
        <v>16287.105655184738</v>
      </c>
      <c r="I3" s="14">
        <f t="shared" si="2"/>
        <v>188712.89434481526</v>
      </c>
    </row>
    <row r="4" spans="1:9" ht="15.75" customHeight="1" x14ac:dyDescent="0.2">
      <c r="A4" s="7">
        <f t="shared" si="3"/>
        <v>2023</v>
      </c>
      <c r="B4" s="52">
        <v>15184.087600000001</v>
      </c>
      <c r="C4" s="53">
        <v>35000</v>
      </c>
      <c r="D4" s="53">
        <v>72000</v>
      </c>
      <c r="E4" s="53">
        <v>49000</v>
      </c>
      <c r="F4" s="53">
        <v>49000</v>
      </c>
      <c r="G4" s="14">
        <f t="shared" si="0"/>
        <v>205000</v>
      </c>
      <c r="H4" s="14">
        <f t="shared" si="1"/>
        <v>16139.387531741564</v>
      </c>
      <c r="I4" s="14">
        <f t="shared" si="2"/>
        <v>188860.61246825845</v>
      </c>
    </row>
    <row r="5" spans="1:9" ht="15.75" customHeight="1" x14ac:dyDescent="0.2">
      <c r="A5" s="7">
        <f t="shared" si="3"/>
        <v>2024</v>
      </c>
      <c r="B5" s="52">
        <v>15042.9642</v>
      </c>
      <c r="C5" s="53">
        <v>34000</v>
      </c>
      <c r="D5" s="53">
        <v>70000</v>
      </c>
      <c r="E5" s="53">
        <v>51000</v>
      </c>
      <c r="F5" s="53">
        <v>48000</v>
      </c>
      <c r="G5" s="14">
        <f t="shared" si="0"/>
        <v>203000</v>
      </c>
      <c r="H5" s="14">
        <f t="shared" si="1"/>
        <v>15989.38541752846</v>
      </c>
      <c r="I5" s="14">
        <f t="shared" si="2"/>
        <v>187010.61458247155</v>
      </c>
    </row>
    <row r="6" spans="1:9" ht="15.75" customHeight="1" x14ac:dyDescent="0.2">
      <c r="A6" s="7">
        <f t="shared" si="3"/>
        <v>2025</v>
      </c>
      <c r="B6" s="52">
        <v>14899.691999999999</v>
      </c>
      <c r="C6" s="53">
        <v>34000</v>
      </c>
      <c r="D6" s="53">
        <v>69000</v>
      </c>
      <c r="E6" s="53">
        <v>53000</v>
      </c>
      <c r="F6" s="53">
        <v>47000</v>
      </c>
      <c r="G6" s="14">
        <f t="shared" si="0"/>
        <v>203000</v>
      </c>
      <c r="H6" s="14">
        <f t="shared" si="1"/>
        <v>15837.099312545424</v>
      </c>
      <c r="I6" s="14">
        <f t="shared" si="2"/>
        <v>187162.90068745459</v>
      </c>
    </row>
    <row r="7" spans="1:9" ht="15.75" customHeight="1" x14ac:dyDescent="0.2">
      <c r="A7" s="7">
        <f t="shared" si="3"/>
        <v>2026</v>
      </c>
      <c r="B7" s="52">
        <v>14735.6792</v>
      </c>
      <c r="C7" s="53">
        <v>33000</v>
      </c>
      <c r="D7" s="53">
        <v>68000</v>
      </c>
      <c r="E7" s="53">
        <v>55000</v>
      </c>
      <c r="F7" s="53">
        <v>46000</v>
      </c>
      <c r="G7" s="14">
        <f t="shared" si="0"/>
        <v>202000</v>
      </c>
      <c r="H7" s="14">
        <f t="shared" si="1"/>
        <v>15662.767722192508</v>
      </c>
      <c r="I7" s="14">
        <f t="shared" si="2"/>
        <v>186337.23227780749</v>
      </c>
    </row>
    <row r="8" spans="1:9" ht="15.75" customHeight="1" x14ac:dyDescent="0.2">
      <c r="A8" s="7">
        <f t="shared" si="3"/>
        <v>2027</v>
      </c>
      <c r="B8" s="52">
        <v>14570.0512</v>
      </c>
      <c r="C8" s="53">
        <v>33000</v>
      </c>
      <c r="D8" s="53">
        <v>67000</v>
      </c>
      <c r="E8" s="53">
        <v>58000</v>
      </c>
      <c r="F8" s="53">
        <v>45000</v>
      </c>
      <c r="G8" s="14">
        <f t="shared" si="0"/>
        <v>203000</v>
      </c>
      <c r="H8" s="14">
        <f t="shared" si="1"/>
        <v>15486.719312269788</v>
      </c>
      <c r="I8" s="14">
        <f t="shared" si="2"/>
        <v>187513.28068773021</v>
      </c>
    </row>
    <row r="9" spans="1:9" ht="15.75" customHeight="1" x14ac:dyDescent="0.2">
      <c r="A9" s="7">
        <f t="shared" si="3"/>
        <v>2028</v>
      </c>
      <c r="B9" s="52">
        <v>14402.808000000001</v>
      </c>
      <c r="C9" s="53">
        <v>34000</v>
      </c>
      <c r="D9" s="53">
        <v>65000</v>
      </c>
      <c r="E9" s="53">
        <v>61000</v>
      </c>
      <c r="F9" s="53">
        <v>44000</v>
      </c>
      <c r="G9" s="14">
        <f t="shared" si="0"/>
        <v>204000</v>
      </c>
      <c r="H9" s="14">
        <f t="shared" si="1"/>
        <v>15308.954082777265</v>
      </c>
      <c r="I9" s="14">
        <f t="shared" si="2"/>
        <v>188691.04591722274</v>
      </c>
    </row>
    <row r="10" spans="1:9" ht="15.75" customHeight="1" x14ac:dyDescent="0.2">
      <c r="A10" s="7">
        <f t="shared" si="3"/>
        <v>2029</v>
      </c>
      <c r="B10" s="52">
        <v>14233.9496</v>
      </c>
      <c r="C10" s="53">
        <v>34000</v>
      </c>
      <c r="D10" s="53">
        <v>65000</v>
      </c>
      <c r="E10" s="53">
        <v>62000</v>
      </c>
      <c r="F10" s="53">
        <v>42000</v>
      </c>
      <c r="G10" s="14">
        <f t="shared" si="0"/>
        <v>203000</v>
      </c>
      <c r="H10" s="14">
        <f t="shared" si="1"/>
        <v>15129.472033714941</v>
      </c>
      <c r="I10" s="14">
        <f t="shared" si="2"/>
        <v>187870.52796628507</v>
      </c>
    </row>
    <row r="11" spans="1:9" ht="15.75" customHeight="1" x14ac:dyDescent="0.2">
      <c r="A11" s="7">
        <f t="shared" si="3"/>
        <v>2030</v>
      </c>
      <c r="B11" s="52">
        <v>14046.45</v>
      </c>
      <c r="C11" s="53">
        <v>34000</v>
      </c>
      <c r="D11" s="53">
        <v>63000</v>
      </c>
      <c r="E11" s="53">
        <v>64000</v>
      </c>
      <c r="F11" s="53">
        <v>43000</v>
      </c>
      <c r="G11" s="14">
        <f t="shared" si="0"/>
        <v>204000</v>
      </c>
      <c r="H11" s="14">
        <f t="shared" si="1"/>
        <v>14930.175982074241</v>
      </c>
      <c r="I11" s="14">
        <f t="shared" si="2"/>
        <v>189069.82401792577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UBGUMnkfO69og3iaFiDtqnkm9XfOAEEgSrhw+IlMnvA+1itkTC6IsCWKvOnkrYxBPiWIR6VNW49+qBtAvd2BGw==" saltValue="ycEFq2MS7XyWFrxQDOtUN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8m9u0iaoCUAJxWCCWBkvYljg/8HbsoaPcYJMjMrTm8IrKs3xWc4K6M4WTuI50TpKAmYsuIw7QDZu142rKjyqlA==" saltValue="d3/RbJweJBm4bkLcZACYn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6nn3T2Wx5Hqcg/tQjWCPF1BQSd7i8mmedKpe9MXNw0AzLgjzZoHcPPjCLi5VjbBgj8qCYHKV5ffqI4hv6enjEQ==" saltValue="UjOrkzoiK1ojNiomI8pZ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JQBZSiTY6wULhkp//PS0r5dZYguKEovCFHK+/GnzavSx+bH7xSbPNwAXFF7UfOE9X5pWJTBsQnv/CoCOLyyQ8Q==" saltValue="86eD0M7CwxN64c4VinXwH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G5eE30OnyDDkQE99/SEGwKTzzApMboV0NwMAg1ucoS4GeYpMbeh5OKDakty9ho1IZJUQr2eSGYEWhBnRS1dpUA==" saltValue="YSCeUIbcRKXoWr5W0PQP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DCRirMkMqMtWMkJ6cNqApPrRCgRoLoCrm12uyn2c0U2ZdqYOXBjaqosuVMxUgf9fUhbo02699JcNZlEkMH5rxg==" saltValue="VJeWATGa0JoCinntmD5b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fPbhG4/OVPpEu5+dmFl1qrzliShyAgz+1ob+XH1N5S1oqiv+xMynBFFqHLr4L09MdTo24pGPpZqb5s3P8NfNBw==" saltValue="+GeSebY6LnnLLXf/148d4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mjDGpnZfZ+MnTpFDNYVqHwi2uE8IT6QEp5KViA375aE/tTTHD2jH0M/CGt/aUTwNpe8it0Oq/KFW4HLPGq5SEg==" saltValue="HE4xpEbzUb8p/E/PpycKp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FViluAOvBf1y7FOP4G2FFNE8xP2FWvJcIDY2+vnkggc1Mt/P39rdZSMLTGRuKKijMvA3Kwp7vc7CSnHWsyNOng==" saltValue="lEqJIJEyB79nEp03u0nj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t98lJYnfdC13NjfTFpb+yVxj92TmlbswnUDIxm5ZlzJOqJD55I9w84+0ORLQmrmVmuysONl6SpZei6gMrc/pNw==" saltValue="66v+rBo/TxRLruSlS6LY/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0.17755389521953291</v>
      </c>
    </row>
    <row r="5" spans="1:8" ht="15.75" customHeight="1" x14ac:dyDescent="0.2">
      <c r="B5" s="16" t="s">
        <v>80</v>
      </c>
      <c r="C5" s="54">
        <v>4.8224996806353983E-2</v>
      </c>
    </row>
    <row r="6" spans="1:8" ht="15.75" customHeight="1" x14ac:dyDescent="0.2">
      <c r="B6" s="16" t="s">
        <v>81</v>
      </c>
      <c r="C6" s="54">
        <v>0.22933059814212961</v>
      </c>
    </row>
    <row r="7" spans="1:8" ht="15.75" customHeight="1" x14ac:dyDescent="0.2">
      <c r="B7" s="16" t="s">
        <v>82</v>
      </c>
      <c r="C7" s="54">
        <v>0.31537747942793543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0.10889232299517181</v>
      </c>
    </row>
    <row r="10" spans="1:8" ht="15.75" customHeight="1" x14ac:dyDescent="0.2">
      <c r="B10" s="16" t="s">
        <v>85</v>
      </c>
      <c r="C10" s="54">
        <v>0.1206207074088763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9.4827146151581304E-2</v>
      </c>
      <c r="D14" s="54">
        <v>9.4827146151581304E-2</v>
      </c>
      <c r="E14" s="54">
        <v>9.4827146151581304E-2</v>
      </c>
      <c r="F14" s="54">
        <v>9.4827146151581304E-2</v>
      </c>
    </row>
    <row r="15" spans="1:8" ht="15.75" customHeight="1" x14ac:dyDescent="0.2">
      <c r="B15" s="16" t="s">
        <v>88</v>
      </c>
      <c r="C15" s="54">
        <v>0.16152400212526699</v>
      </c>
      <c r="D15" s="54">
        <v>0.16152400212526699</v>
      </c>
      <c r="E15" s="54">
        <v>0.16152400212526699</v>
      </c>
      <c r="F15" s="54">
        <v>0.16152400212526699</v>
      </c>
    </row>
    <row r="16" spans="1:8" ht="15.75" customHeight="1" x14ac:dyDescent="0.2">
      <c r="B16" s="16" t="s">
        <v>89</v>
      </c>
      <c r="C16" s="54">
        <v>3.073145596003013E-2</v>
      </c>
      <c r="D16" s="54">
        <v>3.073145596003013E-2</v>
      </c>
      <c r="E16" s="54">
        <v>3.073145596003013E-2</v>
      </c>
      <c r="F16" s="54">
        <v>3.073145596003013E-2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2.4454213757058078E-2</v>
      </c>
      <c r="D18" s="54">
        <v>2.4454213757058078E-2</v>
      </c>
      <c r="E18" s="54">
        <v>2.4454213757058078E-2</v>
      </c>
      <c r="F18" s="54">
        <v>2.4454213757058078E-2</v>
      </c>
    </row>
    <row r="19" spans="1:8" ht="15.75" customHeight="1" x14ac:dyDescent="0.2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93</v>
      </c>
      <c r="C20" s="54">
        <v>7.2353682636764033E-2</v>
      </c>
      <c r="D20" s="54">
        <v>7.2353682636764033E-2</v>
      </c>
      <c r="E20" s="54">
        <v>7.2353682636764033E-2</v>
      </c>
      <c r="F20" s="54">
        <v>7.2353682636764033E-2</v>
      </c>
    </row>
    <row r="21" spans="1:8" ht="15.75" customHeight="1" x14ac:dyDescent="0.2">
      <c r="B21" s="16" t="s">
        <v>94</v>
      </c>
      <c r="C21" s="54">
        <v>0.19440803624664019</v>
      </c>
      <c r="D21" s="54">
        <v>0.19440803624664019</v>
      </c>
      <c r="E21" s="54">
        <v>0.19440803624664019</v>
      </c>
      <c r="F21" s="54">
        <v>0.19440803624664019</v>
      </c>
    </row>
    <row r="22" spans="1:8" ht="15.75" customHeight="1" x14ac:dyDescent="0.2">
      <c r="B22" s="16" t="s">
        <v>95</v>
      </c>
      <c r="C22" s="54">
        <v>0.42170146312265933</v>
      </c>
      <c r="D22" s="54">
        <v>0.42170146312265933</v>
      </c>
      <c r="E22" s="54">
        <v>0.42170146312265933</v>
      </c>
      <c r="F22" s="54">
        <v>0.42170146312265933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5.6900000000000013E-2</v>
      </c>
    </row>
    <row r="27" spans="1:8" ht="15.75" customHeight="1" x14ac:dyDescent="0.2">
      <c r="B27" s="16" t="s">
        <v>102</v>
      </c>
      <c r="C27" s="54">
        <v>0.1479</v>
      </c>
    </row>
    <row r="28" spans="1:8" ht="15.75" customHeight="1" x14ac:dyDescent="0.2">
      <c r="B28" s="16" t="s">
        <v>103</v>
      </c>
      <c r="C28" s="54">
        <v>0.14149999999999999</v>
      </c>
    </row>
    <row r="29" spans="1:8" ht="15.75" customHeight="1" x14ac:dyDescent="0.2">
      <c r="B29" s="16" t="s">
        <v>104</v>
      </c>
      <c r="C29" s="54">
        <v>0.128</v>
      </c>
    </row>
    <row r="30" spans="1:8" ht="15.75" customHeight="1" x14ac:dyDescent="0.2">
      <c r="B30" s="16" t="s">
        <v>2</v>
      </c>
      <c r="C30" s="54">
        <v>5.0799999999999998E-2</v>
      </c>
    </row>
    <row r="31" spans="1:8" ht="15.75" customHeight="1" x14ac:dyDescent="0.2">
      <c r="B31" s="16" t="s">
        <v>105</v>
      </c>
      <c r="C31" s="54">
        <v>0.1424</v>
      </c>
    </row>
    <row r="32" spans="1:8" ht="15.75" customHeight="1" x14ac:dyDescent="0.2">
      <c r="B32" s="16" t="s">
        <v>106</v>
      </c>
      <c r="C32" s="54">
        <v>2.5700000000000001E-2</v>
      </c>
    </row>
    <row r="33" spans="2:3" ht="15.75" customHeight="1" x14ac:dyDescent="0.2">
      <c r="B33" s="16" t="s">
        <v>107</v>
      </c>
      <c r="C33" s="54">
        <v>0.1082</v>
      </c>
    </row>
    <row r="34" spans="2:3" ht="15.75" customHeight="1" x14ac:dyDescent="0.2">
      <c r="B34" s="16" t="s">
        <v>108</v>
      </c>
      <c r="C34" s="54">
        <v>0.19860000000223521</v>
      </c>
    </row>
    <row r="35" spans="2:3" ht="15.75" customHeight="1" x14ac:dyDescent="0.2">
      <c r="B35" s="24" t="s">
        <v>41</v>
      </c>
      <c r="C35" s="50">
        <f>SUM(C26:C34)</f>
        <v>1.0000000000022351</v>
      </c>
    </row>
  </sheetData>
  <sheetProtection algorithmName="SHA-512" hashValue="aRtDnAL8TRPNgPS/LxHq2Cc2s0VpzxIx2Ap2K+JeO4cP1wfRc58+nBbxJjQa19zUOVS7RLw00XtChATLmSg3nQ==" saltValue="07U4Dvh2Flk4peZTScrGr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0.73685956001281694</v>
      </c>
      <c r="D2" s="55">
        <v>0.73685956001281694</v>
      </c>
      <c r="E2" s="55">
        <v>0.79379481077194203</v>
      </c>
      <c r="F2" s="55">
        <v>0.64132219552993808</v>
      </c>
      <c r="G2" s="55">
        <v>0.67309671640396107</v>
      </c>
    </row>
    <row r="3" spans="1:15" ht="15.75" customHeight="1" x14ac:dyDescent="0.2">
      <c r="B3" s="7" t="s">
        <v>113</v>
      </c>
      <c r="C3" s="55">
        <v>0.12661989033222201</v>
      </c>
      <c r="D3" s="55">
        <v>0.12661989033222201</v>
      </c>
      <c r="E3" s="55">
        <v>0.14630703628063199</v>
      </c>
      <c r="F3" s="55">
        <v>0.23341138660907701</v>
      </c>
      <c r="G3" s="55">
        <v>0.21280902624130199</v>
      </c>
    </row>
    <row r="4" spans="1:15" ht="15.75" customHeight="1" x14ac:dyDescent="0.2">
      <c r="B4" s="7" t="s">
        <v>114</v>
      </c>
      <c r="C4" s="56">
        <v>8.3319872617721599E-2</v>
      </c>
      <c r="D4" s="56">
        <v>8.3319872617721599E-2</v>
      </c>
      <c r="E4" s="56">
        <v>5.2147090435028097E-2</v>
      </c>
      <c r="F4" s="56">
        <v>9.5849700272083296E-2</v>
      </c>
      <c r="G4" s="56">
        <v>8.1147387623786912E-2</v>
      </c>
    </row>
    <row r="5" spans="1:15" ht="15.75" customHeight="1" x14ac:dyDescent="0.2">
      <c r="B5" s="7" t="s">
        <v>115</v>
      </c>
      <c r="C5" s="56">
        <v>5.3200684487819699E-2</v>
      </c>
      <c r="D5" s="56">
        <v>5.3200684487819699E-2</v>
      </c>
      <c r="E5" s="56">
        <v>7.7510843984782999E-3</v>
      </c>
      <c r="F5" s="56">
        <v>2.9416689649224299E-2</v>
      </c>
      <c r="G5" s="56">
        <v>3.2946851104497903E-2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0.71536129713058505</v>
      </c>
      <c r="D8" s="55">
        <v>0.71536129713058505</v>
      </c>
      <c r="E8" s="55">
        <v>0.72911643981933594</v>
      </c>
      <c r="F8" s="55">
        <v>0.83422839641571001</v>
      </c>
      <c r="G8" s="55">
        <v>0.73153436183929399</v>
      </c>
    </row>
    <row r="9" spans="1:15" ht="15.75" customHeight="1" x14ac:dyDescent="0.2">
      <c r="B9" s="7" t="s">
        <v>118</v>
      </c>
      <c r="C9" s="55">
        <v>0.21192461252212499</v>
      </c>
      <c r="D9" s="55">
        <v>0.21192461252212499</v>
      </c>
      <c r="E9" s="55">
        <v>0.19347357749939001</v>
      </c>
      <c r="F9" s="55">
        <v>0.112909913063049</v>
      </c>
      <c r="G9" s="55">
        <v>0.20393042266368899</v>
      </c>
    </row>
    <row r="10" spans="1:15" ht="15.75" customHeight="1" x14ac:dyDescent="0.2">
      <c r="B10" s="7" t="s">
        <v>119</v>
      </c>
      <c r="C10" s="56">
        <v>4.9876313656568499E-2</v>
      </c>
      <c r="D10" s="56">
        <v>4.9876313656568499E-2</v>
      </c>
      <c r="E10" s="56">
        <v>5.8374550193548203E-2</v>
      </c>
      <c r="F10" s="56">
        <v>3.6005172878503799E-2</v>
      </c>
      <c r="G10" s="56">
        <v>4.8495609313249588E-2</v>
      </c>
    </row>
    <row r="11" spans="1:15" ht="15.75" customHeight="1" x14ac:dyDescent="0.2">
      <c r="B11" s="7" t="s">
        <v>120</v>
      </c>
      <c r="C11" s="56">
        <v>2.2837808355689E-2</v>
      </c>
      <c r="D11" s="56">
        <v>2.2837808355689E-2</v>
      </c>
      <c r="E11" s="56">
        <v>1.90354362130165E-2</v>
      </c>
      <c r="F11" s="56">
        <v>1.6856485977768901E-2</v>
      </c>
      <c r="G11" s="56">
        <v>1.6039602458476999E-2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0.60847067900000007</v>
      </c>
      <c r="D14" s="57">
        <v>0.58133804313699999</v>
      </c>
      <c r="E14" s="57">
        <v>0.58133804313699999</v>
      </c>
      <c r="F14" s="57">
        <v>0.34640304007799999</v>
      </c>
      <c r="G14" s="57">
        <v>0.34640304007799999</v>
      </c>
      <c r="H14" s="58">
        <v>0.29099999999999998</v>
      </c>
      <c r="I14" s="58">
        <v>0.34191176470588241</v>
      </c>
      <c r="J14" s="58">
        <v>0.35594919786096257</v>
      </c>
      <c r="K14" s="58">
        <v>0.36798128342245989</v>
      </c>
      <c r="L14" s="58">
        <v>0.25895171244600002</v>
      </c>
      <c r="M14" s="58">
        <v>0.28537344765099998</v>
      </c>
      <c r="N14" s="58">
        <v>0.243461120812</v>
      </c>
      <c r="O14" s="58">
        <v>0.34473308889650001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0.28794062733778492</v>
      </c>
      <c r="D15" s="55">
        <f t="shared" si="0"/>
        <v>0.27510091548090521</v>
      </c>
      <c r="E15" s="55">
        <f t="shared" si="0"/>
        <v>0.27510091548090521</v>
      </c>
      <c r="F15" s="55">
        <f t="shared" si="0"/>
        <v>0.1639249221272257</v>
      </c>
      <c r="G15" s="55">
        <f t="shared" si="0"/>
        <v>0.1639249221272257</v>
      </c>
      <c r="H15" s="55">
        <f t="shared" si="0"/>
        <v>0.13770708342594662</v>
      </c>
      <c r="I15" s="55">
        <f t="shared" si="0"/>
        <v>0.16179955981672023</v>
      </c>
      <c r="J15" s="55">
        <f t="shared" si="0"/>
        <v>0.16844235699394625</v>
      </c>
      <c r="K15" s="55">
        <f t="shared" si="0"/>
        <v>0.17413618314585427</v>
      </c>
      <c r="L15" s="55">
        <f t="shared" si="0"/>
        <v>0.12254118580444352</v>
      </c>
      <c r="M15" s="55">
        <f t="shared" si="0"/>
        <v>0.13504448509699749</v>
      </c>
      <c r="N15" s="55">
        <f t="shared" si="0"/>
        <v>0.11521072465509469</v>
      </c>
      <c r="O15" s="55">
        <f t="shared" si="0"/>
        <v>0.16313466746513608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57pfIPnaTLN7LRX+eSxdHLxUEl2ZHgx60eFrhvFgfMGwb1kRNiaBejDP7+UAIolGszl0SUj4aIIjdunGwJnJfA==" saltValue="D4jjjpK5p7i5h5Ka+PP4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0.38757833838462802</v>
      </c>
      <c r="D2" s="56">
        <v>0.2237922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0.19070751965045901</v>
      </c>
      <c r="D3" s="56">
        <v>0.130911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0.37630134820938099</v>
      </c>
      <c r="D4" s="56">
        <v>0.50229999999999997</v>
      </c>
      <c r="E4" s="56">
        <v>0.63804256916046098</v>
      </c>
      <c r="F4" s="56">
        <v>0.45998138189315801</v>
      </c>
      <c r="G4" s="56">
        <v>0</v>
      </c>
    </row>
    <row r="5" spans="1:7" x14ac:dyDescent="0.2">
      <c r="B5" s="98" t="s">
        <v>132</v>
      </c>
      <c r="C5" s="55">
        <v>4.5412793755531887E-2</v>
      </c>
      <c r="D5" s="55">
        <v>0.14299680000000001</v>
      </c>
      <c r="E5" s="55">
        <v>0.36195743083953902</v>
      </c>
      <c r="F5" s="55">
        <v>0.54001861810684193</v>
      </c>
      <c r="G5" s="55">
        <v>1</v>
      </c>
    </row>
  </sheetData>
  <sheetProtection algorithmName="SHA-512" hashValue="v6Erx+2/Mhqt+Nj2TKgtlL7k9G17Qpy+CL2FvfT2sdTb5GCdIR8kvKpMTp45BL2cyPennwm6VBbjh3z5wzFTlw==" saltValue="/sHoachZwQH5KiOAbZ7sk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W1oyUrC9Dfh3CiKYUcry5OYQjBd4VYFiUDBz0Z6Hb+e7ONU4pEcx1KmEy08utrUom5B/zVgUbw6P9OIwaemq1Q==" saltValue="46QwvJPFcxVWg0NT3lRqu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IPJ0PHEe7/HZO9e58m/B/gjMmG5MdPpQHx/td/HNUFJJn98wLhDGK3+svkVV3upFpXtlzmDiCgcJHVxfKOQVuA==" saltValue="lzhoZ+HEotGygeBQOkxEF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bKTkNDSq3BFXU9K+gnAWO/ZA+tOXY7MAS3KBD5iTSw6tuJW8P21/C7k0mls6gzgQoGHMBnRNQ8A2b0M3lIvjTA==" saltValue="niZuqyxLBRHW/rIx9PROD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LxGooQwWUCqF3R9v274Idh0swTpMlGARuHkUf/3LyvKkABa7y2Fk0Cw4KVOfRyY4QZRLbvODqewYWpcLB4wpSw==" saltValue="v/ol7agfeU4qwwO3uH8JK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2022-02-02T07:15:24Z</dcterms:modified>
</cp:coreProperties>
</file>