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C4608369-B6FF-438F-870D-0FDBDC0D3287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34" i="2"/>
  <c r="A33" i="2"/>
  <c r="A16" i="2"/>
  <c r="H11" i="2"/>
  <c r="G11" i="2"/>
  <c r="H10" i="2"/>
  <c r="G10" i="2"/>
  <c r="H9" i="2"/>
  <c r="G9" i="2"/>
  <c r="I9" i="2" s="1"/>
  <c r="H8" i="2"/>
  <c r="G8" i="2"/>
  <c r="H7" i="2"/>
  <c r="G7" i="2"/>
  <c r="I7" i="2" s="1"/>
  <c r="H6" i="2"/>
  <c r="G6" i="2"/>
  <c r="H5" i="2"/>
  <c r="G5" i="2"/>
  <c r="I5" i="2" s="1"/>
  <c r="H4" i="2"/>
  <c r="G4" i="2"/>
  <c r="H3" i="2"/>
  <c r="G3" i="2"/>
  <c r="I3" i="2" s="1"/>
  <c r="H2" i="2"/>
  <c r="G2" i="2"/>
  <c r="A2" i="2"/>
  <c r="A31" i="2" s="1"/>
  <c r="C33" i="1"/>
  <c r="C20" i="1"/>
  <c r="I38" i="2" l="1"/>
  <c r="I10" i="2"/>
  <c r="I39" i="2"/>
  <c r="A18" i="2"/>
  <c r="I4" i="2"/>
  <c r="A17" i="2"/>
  <c r="I2" i="2"/>
  <c r="A24" i="2"/>
  <c r="A25" i="2"/>
  <c r="A39" i="2"/>
  <c r="I6" i="2"/>
  <c r="I8" i="2"/>
  <c r="A3" i="2"/>
  <c r="A26" i="2"/>
  <c r="I11" i="2"/>
  <c r="A32" i="2"/>
  <c r="A19" i="2"/>
  <c r="A27" i="2"/>
  <c r="A35" i="2"/>
  <c r="A13" i="2"/>
  <c r="A21" i="2"/>
  <c r="A29" i="2"/>
  <c r="A37" i="2"/>
  <c r="A28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<sst xmlns="http://schemas.openxmlformats.org/spreadsheetml/2006/main" count="2092" uniqueCount="337">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</sst>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2957104.59375</v>
      </c>
    </row>
    <row r="8" spans="1:3" ht="15" customHeight="1" x14ac:dyDescent="0.2">
      <c r="B8" s="7" t="s">
        <v>19</v>
      </c>
      <c r="C8" s="46">
        <v>0.51500000000000001</v>
      </c>
    </row>
    <row r="9" spans="1:3" ht="15" customHeight="1" x14ac:dyDescent="0.2">
      <c r="B9" s="7" t="s">
        <v>20</v>
      </c>
      <c r="C9" s="47">
        <v>0.77</v>
      </c>
    </row>
    <row r="10" spans="1:3" ht="15" customHeight="1" x14ac:dyDescent="0.2">
      <c r="B10" s="7" t="s">
        <v>21</v>
      </c>
      <c r="C10" s="47">
        <v>0.307979602813721</v>
      </c>
    </row>
    <row r="11" spans="1:3" ht="15" customHeight="1" x14ac:dyDescent="0.2">
      <c r="B11" s="7" t="s">
        <v>22</v>
      </c>
      <c r="C11" s="46">
        <v>0.50600000000000001</v>
      </c>
    </row>
    <row r="12" spans="1:3" ht="15" customHeight="1" x14ac:dyDescent="0.2">
      <c r="B12" s="7" t="s">
        <v>23</v>
      </c>
      <c r="C12" s="46">
        <v>0.77599999999999991</v>
      </c>
    </row>
    <row r="13" spans="1:3" ht="15" customHeight="1" x14ac:dyDescent="0.2">
      <c r="B13" s="7" t="s">
        <v>24</v>
      </c>
      <c r="C13" s="46">
        <v>0.254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0.15459999999999999</v>
      </c>
    </row>
    <row r="24" spans="1:3" ht="15" customHeight="1" x14ac:dyDescent="0.2">
      <c r="B24" s="12" t="s">
        <v>33</v>
      </c>
      <c r="C24" s="47">
        <v>0.46519999999999989</v>
      </c>
    </row>
    <row r="25" spans="1:3" ht="15" customHeight="1" x14ac:dyDescent="0.2">
      <c r="B25" s="12" t="s">
        <v>34</v>
      </c>
      <c r="C25" s="47">
        <v>0.30449999999999999</v>
      </c>
    </row>
    <row r="26" spans="1:3" ht="15" customHeight="1" x14ac:dyDescent="0.2">
      <c r="B26" s="12" t="s">
        <v>35</v>
      </c>
      <c r="C26" s="47">
        <v>7.5700000000000003E-2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0.20699999999999999</v>
      </c>
    </row>
    <row r="30" spans="1:3" ht="14.25" customHeight="1" x14ac:dyDescent="0.2">
      <c r="B30" s="22" t="s">
        <v>38</v>
      </c>
      <c r="C30" s="49">
        <v>3.9E-2</v>
      </c>
    </row>
    <row r="31" spans="1:3" ht="14.25" customHeight="1" x14ac:dyDescent="0.2">
      <c r="B31" s="22" t="s">
        <v>39</v>
      </c>
      <c r="C31" s="49">
        <v>0.107</v>
      </c>
    </row>
    <row r="32" spans="1:3" ht="14.25" customHeight="1" x14ac:dyDescent="0.2">
      <c r="B32" s="22" t="s">
        <v>40</v>
      </c>
      <c r="C32" s="49">
        <v>0.64699999998509883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19.791405289858101</v>
      </c>
    </row>
    <row r="38" spans="1:5" ht="15" customHeight="1" x14ac:dyDescent="0.2">
      <c r="B38" s="28" t="s">
        <v>45</v>
      </c>
      <c r="C38" s="117">
        <v>30.911809763488201</v>
      </c>
      <c r="D38" s="9"/>
      <c r="E38" s="10"/>
    </row>
    <row r="39" spans="1:5" ht="15" customHeight="1" x14ac:dyDescent="0.2">
      <c r="B39" s="28" t="s">
        <v>46</v>
      </c>
      <c r="C39" s="117">
        <v>41.634534442268603</v>
      </c>
      <c r="D39" s="9"/>
      <c r="E39" s="9"/>
    </row>
    <row r="40" spans="1:5" ht="15" customHeight="1" x14ac:dyDescent="0.2">
      <c r="B40" s="28" t="s">
        <v>47</v>
      </c>
      <c r="C40" s="117">
        <v>349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16.289142770000002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2.9004700000000001E-2</v>
      </c>
      <c r="D45" s="9"/>
    </row>
    <row r="46" spans="1:5" ht="15.75" customHeight="1" x14ac:dyDescent="0.2">
      <c r="B46" s="28" t="s">
        <v>52</v>
      </c>
      <c r="C46" s="47">
        <v>0.15166679999999999</v>
      </c>
      <c r="D46" s="9"/>
    </row>
    <row r="47" spans="1:5" ht="15.75" customHeight="1" x14ac:dyDescent="0.2">
      <c r="B47" s="28" t="s">
        <v>53</v>
      </c>
      <c r="C47" s="47">
        <v>0.20323840000000001</v>
      </c>
      <c r="D47" s="9"/>
      <c r="E47" s="10"/>
    </row>
    <row r="48" spans="1:5" ht="15" customHeight="1" x14ac:dyDescent="0.2">
      <c r="B48" s="28" t="s">
        <v>54</v>
      </c>
      <c r="C48" s="48">
        <v>0.61609009999999997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0.46536119576171681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14.464293</v>
      </c>
    </row>
    <row r="63" spans="1:4" ht="15.75" customHeight="1" x14ac:dyDescent="0.2">
      <c r="A63" s="39"/>
    </row>
  </sheetData>
  <sheetProtection algorithmName="SHA-512" hashValue="BIRnBPQ90Hbi1imBtj/dnqhJ2+hhGH+NZ2LflDoeEideYE5Ya9g3Vl/PaFdr+F4zTNFhFxeooTRjuan+Lz+ykg==" saltValue="087NPqBRdaCOaqHR6YEl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5.0423649364654502E-2</v>
      </c>
      <c r="C2" s="115">
        <v>0.95</v>
      </c>
      <c r="D2" s="116">
        <v>33.512328306813657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44.605343392661311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30.030766511576608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0.11340658198033569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14.13040526178168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14.13040526178168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14.13040526178168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14.13040526178168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14.13040526178168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14.13040526178168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0.7609999999999999</v>
      </c>
      <c r="C16" s="115">
        <v>0.95</v>
      </c>
      <c r="D16" s="116">
        <v>0.1866821098142778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3.1508066666666702E-2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0.22765089999999999</v>
      </c>
      <c r="C18" s="115">
        <v>0.95</v>
      </c>
      <c r="D18" s="116">
        <v>0.80800494022236113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0.22765089999999999</v>
      </c>
      <c r="C19" s="115">
        <v>0.95</v>
      </c>
      <c r="D19" s="116">
        <v>0.80800494022236113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0.9142998</v>
      </c>
      <c r="C21" s="115">
        <v>0.95</v>
      </c>
      <c r="D21" s="116">
        <v>0.80110146350938183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24.054885882818429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4.621869686333798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0.81035707865712003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0.33427035808563199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20.43896045604918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0.281427681446075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0.25</v>
      </c>
      <c r="C29" s="115">
        <v>0.95</v>
      </c>
      <c r="D29" s="116">
        <v>57.691469774981172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0.45959500925169477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0.33618374922887551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0.83534057620000002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0.82099999999999995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0.21657418485229099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8.7039560481830008E-2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6.3798849579053014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0.26226148249752401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07hW+dGw8g5MKYZikGhZQLRDRNo1anfoTPfwn767ctFPXeDFaZYGychkVDt9CZRuB1lvAsxNGrAnWqA+6WbW3Q==" saltValue="HSjPPsFwE0Lv2t7pifwf+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xNOVnS6xdFurQ34ZfCOPe8ulYlxeV2uepy11n7IsT1QZo0BGfKgmSH+KFhiABDRMrKtcj32tBmsvNNq3Cy+2xg==" saltValue="rGIaIGyJOMpmApopM06Fe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0MlTChb+JwNJDe2JkALFuA3qSF6T6b9UHxJ5bRTkN3gwqaiduuZhsVnK3bghQ4283hUuEiiT+20MdIIU988XtA==" saltValue="lhyKv11Znb1hbo3LnMf2y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6.534157395362844E-2</v>
      </c>
      <c r="C3" s="18">
        <f>frac_mam_1_5months * 2.6</f>
        <v>6.534157395362844E-2</v>
      </c>
      <c r="D3" s="18">
        <f>frac_mam_6_11months * 2.6</f>
        <v>8.7937635928392377E-2</v>
      </c>
      <c r="E3" s="18">
        <f>frac_mam_12_23months * 2.6</f>
        <v>7.816344536840919E-2</v>
      </c>
      <c r="F3" s="18">
        <f>frac_mam_24_59months * 2.6</f>
        <v>4.2825356498360542E-2</v>
      </c>
    </row>
    <row r="4" spans="1:6" ht="15.75" customHeight="1" x14ac:dyDescent="0.2">
      <c r="A4" s="4" t="s">
        <v>208</v>
      </c>
      <c r="B4" s="18">
        <f>frac_sam_1month * 2.6</f>
        <v>3.6906595155596661E-2</v>
      </c>
      <c r="C4" s="18">
        <f>frac_sam_1_5months * 2.6</f>
        <v>3.6906595155596661E-2</v>
      </c>
      <c r="D4" s="18">
        <f>frac_sam_6_11months * 2.6</f>
        <v>1.8033875338733279E-2</v>
      </c>
      <c r="E4" s="18">
        <f>frac_sam_12_23months * 2.6</f>
        <v>1.127179833129038E-2</v>
      </c>
      <c r="F4" s="18">
        <f>frac_sam_24_59months * 2.6</f>
        <v>1.5861089341342442E-2</v>
      </c>
    </row>
  </sheetData>
  <sheetProtection algorithmName="SHA-512" hashValue="LqsC4/JaK4H96X/yGPZiyp20+sjRcjhuVfMPbm6Qo9qeYBVqK75X4zOKA3bk7CC+7HWMs7qr9b3JHV3Ln10rdQ==" saltValue="5i58dIuyVY4HcYlfxhrQ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0.51500000000000001</v>
      </c>
      <c r="E2" s="65">
        <f>food_insecure</f>
        <v>0.51500000000000001</v>
      </c>
      <c r="F2" s="65">
        <f>food_insecure</f>
        <v>0.51500000000000001</v>
      </c>
      <c r="G2" s="65">
        <f>food_insecure</f>
        <v>0.51500000000000001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0.51500000000000001</v>
      </c>
      <c r="F5" s="65">
        <f>food_insecure</f>
        <v>0.51500000000000001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0.51500000000000001</v>
      </c>
      <c r="F8" s="65">
        <f>food_insecure</f>
        <v>0.51500000000000001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0.51500000000000001</v>
      </c>
      <c r="F9" s="65">
        <f>food_insecure</f>
        <v>0.51500000000000001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0.77599999999999991</v>
      </c>
      <c r="E10" s="65">
        <f>IF(ISBLANK(comm_deliv), frac_children_health_facility,1)</f>
        <v>0.77599999999999991</v>
      </c>
      <c r="F10" s="65">
        <f>IF(ISBLANK(comm_deliv), frac_children_health_facility,1)</f>
        <v>0.77599999999999991</v>
      </c>
      <c r="G10" s="65">
        <f>IF(ISBLANK(comm_deliv), frac_children_health_facility,1)</f>
        <v>0.77599999999999991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0.51500000000000001</v>
      </c>
      <c r="I15" s="65">
        <f>food_insecure</f>
        <v>0.51500000000000001</v>
      </c>
      <c r="J15" s="65">
        <f>food_insecure</f>
        <v>0.51500000000000001</v>
      </c>
      <c r="K15" s="65">
        <f>food_insecure</f>
        <v>0.51500000000000001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0.50600000000000001</v>
      </c>
      <c r="I18" s="65">
        <f>frac_PW_health_facility</f>
        <v>0.50600000000000001</v>
      </c>
      <c r="J18" s="65">
        <f>frac_PW_health_facility</f>
        <v>0.50600000000000001</v>
      </c>
      <c r="K18" s="65">
        <f>frac_PW_health_facility</f>
        <v>0.50600000000000001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0.77</v>
      </c>
      <c r="I19" s="65">
        <f>frac_malaria_risk</f>
        <v>0.77</v>
      </c>
      <c r="J19" s="65">
        <f>frac_malaria_risk</f>
        <v>0.77</v>
      </c>
      <c r="K19" s="65">
        <f>frac_malaria_risk</f>
        <v>0.77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0.254</v>
      </c>
      <c r="M24" s="65">
        <f>famplan_unmet_need</f>
        <v>0.254</v>
      </c>
      <c r="N24" s="65">
        <f>famplan_unmet_need</f>
        <v>0.254</v>
      </c>
      <c r="O24" s="65">
        <f>famplan_unmet_need</f>
        <v>0.254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0.41393200057697277</v>
      </c>
      <c r="M25" s="65">
        <f>(1-food_insecure)*(0.49)+food_insecure*(0.7)</f>
        <v>0.59814999999999996</v>
      </c>
      <c r="N25" s="65">
        <f>(1-food_insecure)*(0.49)+food_insecure*(0.7)</f>
        <v>0.59814999999999996</v>
      </c>
      <c r="O25" s="65">
        <f>(1-food_insecure)*(0.49)+food_insecure*(0.7)</f>
        <v>0.59814999999999996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0.17739942881870263</v>
      </c>
      <c r="M26" s="65">
        <f>(1-food_insecure)*(0.21)+food_insecure*(0.3)</f>
        <v>0.25634999999999997</v>
      </c>
      <c r="N26" s="65">
        <f>(1-food_insecure)*(0.21)+food_insecure*(0.3)</f>
        <v>0.25634999999999997</v>
      </c>
      <c r="O26" s="65">
        <f>(1-food_insecure)*(0.21)+food_insecure*(0.3)</f>
        <v>0.25634999999999997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0.1006889677906036</v>
      </c>
      <c r="M27" s="65">
        <f>(1-food_insecure)*(0.3)</f>
        <v>0.14549999999999999</v>
      </c>
      <c r="N27" s="65">
        <f>(1-food_insecure)*(0.3)</f>
        <v>0.14549999999999999</v>
      </c>
      <c r="O27" s="65">
        <f>(1-food_insecure)*(0.3)</f>
        <v>0.14549999999999999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0.307979602813721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0.77</v>
      </c>
      <c r="D34" s="65">
        <f t="shared" si="3"/>
        <v>0.77</v>
      </c>
      <c r="E34" s="65">
        <f t="shared" si="3"/>
        <v>0.77</v>
      </c>
      <c r="F34" s="65">
        <f t="shared" si="3"/>
        <v>0.77</v>
      </c>
      <c r="G34" s="65">
        <f t="shared" si="3"/>
        <v>0.77</v>
      </c>
      <c r="H34" s="65">
        <f t="shared" si="3"/>
        <v>0.77</v>
      </c>
      <c r="I34" s="65">
        <f t="shared" si="3"/>
        <v>0.77</v>
      </c>
      <c r="J34" s="65">
        <f t="shared" si="3"/>
        <v>0.77</v>
      </c>
      <c r="K34" s="65">
        <f t="shared" si="3"/>
        <v>0.77</v>
      </c>
      <c r="L34" s="65">
        <f t="shared" si="3"/>
        <v>0.77</v>
      </c>
      <c r="M34" s="65">
        <f t="shared" si="3"/>
        <v>0.77</v>
      </c>
      <c r="N34" s="65">
        <f t="shared" si="3"/>
        <v>0.77</v>
      </c>
      <c r="O34" s="65">
        <f t="shared" si="3"/>
        <v>0.77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Dmwkf6Mft4CY5ghzFOz11bjqVDDafNRXHEvVXD2P4XM7Bfhm1zgrcP6hSeaKpEa7UMUY8YDYlX9ZBbCbLaZCgA==" saltValue="pFelVMrpRnctMaYfFtwW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JNk73q+UjN7jrSIxgrTJqcDEZf96duJbRpkKDGEE9rTYDzQKqAPvm5lvD55p6h6vKTfrGuobOq+6TxBd3uuk2g==" saltValue="V9flSEck2WBNEYx896u9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Vniz46vYGm8kmG554Mj6HCZVt7yYBoHkFbGD8d4QaCETZ2iqiFFVW8boBDMRGhL3DagrLR5dzKgi49G56+E4EA==" saltValue="W3quqACSzN0bvI8YMQkan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q5G1KCkLrL8SLQ2EPbKx9PiukhXg0BWMbLlOPvsalbN3iCq8WUAH4y6oi4yXC/ZbIfNy7Cs56Nr5XOz49p4b2g==" saltValue="80eg46uWC8xZ6oq5aDd2f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T1IdhsIyhDAnHoCZxNV7qUkv85vdMtAX350xQ9g2ZS+3SH7E5v5f3/qQfXSGN+ZV02FKxSOEpDFai9dZNox9nw==" saltValue="2zx6OY2gBJDyiWieLUSGz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yfLab95yG/CS7pUoOZoavt/ESsdm3I+WhHYbEGQNP8J2oiCM9+VEDL+eJHHn8iXxFgZUNaT5SVu0WW6aa/ZyXw==" saltValue="aTIQT++VNN3+PPTjdQpgt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730790.89319999993</v>
      </c>
      <c r="C2" s="53">
        <v>1166000</v>
      </c>
      <c r="D2" s="53">
        <v>1870000</v>
      </c>
      <c r="E2" s="53">
        <v>1305000</v>
      </c>
      <c r="F2" s="53">
        <v>784000</v>
      </c>
      <c r="G2" s="14">
        <f t="shared" ref="G2:G11" si="0">C2+D2+E2+F2</f>
        <v>5125000</v>
      </c>
      <c r="H2" s="14">
        <f t="shared" ref="H2:H11" si="1">(B2 + stillbirth*B2/(1000-stillbirth))/(1-abortion)</f>
        <v>778712.75314998673</v>
      </c>
      <c r="I2" s="14">
        <f t="shared" ref="I2:I11" si="2">G2-H2</f>
        <v>4346287.2468500137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742846.22199999983</v>
      </c>
      <c r="C3" s="53">
        <v>1207000</v>
      </c>
      <c r="D3" s="53">
        <v>1919000</v>
      </c>
      <c r="E3" s="53">
        <v>1360000</v>
      </c>
      <c r="F3" s="53">
        <v>819000</v>
      </c>
      <c r="G3" s="14">
        <f t="shared" si="0"/>
        <v>5305000</v>
      </c>
      <c r="H3" s="14">
        <f t="shared" si="1"/>
        <v>791558.6142127451</v>
      </c>
      <c r="I3" s="14">
        <f t="shared" si="2"/>
        <v>4513441.3857872551</v>
      </c>
    </row>
    <row r="4" spans="1:9" ht="15.75" customHeight="1" x14ac:dyDescent="0.2">
      <c r="A4" s="7">
        <f t="shared" si="3"/>
        <v>2023</v>
      </c>
      <c r="B4" s="52">
        <v>754849.30919999979</v>
      </c>
      <c r="C4" s="53">
        <v>1250000</v>
      </c>
      <c r="D4" s="53">
        <v>1973000</v>
      </c>
      <c r="E4" s="53">
        <v>1415000</v>
      </c>
      <c r="F4" s="53">
        <v>856000</v>
      </c>
      <c r="G4" s="14">
        <f t="shared" si="0"/>
        <v>5494000</v>
      </c>
      <c r="H4" s="14">
        <f t="shared" si="1"/>
        <v>804348.80791491724</v>
      </c>
      <c r="I4" s="14">
        <f t="shared" si="2"/>
        <v>4689651.1920850826</v>
      </c>
    </row>
    <row r="5" spans="1:9" ht="15.75" customHeight="1" x14ac:dyDescent="0.2">
      <c r="A5" s="7">
        <f t="shared" si="3"/>
        <v>2024</v>
      </c>
      <c r="B5" s="52">
        <v>766819.77679999976</v>
      </c>
      <c r="C5" s="53">
        <v>1288000</v>
      </c>
      <c r="D5" s="53">
        <v>2029000</v>
      </c>
      <c r="E5" s="53">
        <v>1470000</v>
      </c>
      <c r="F5" s="53">
        <v>895000</v>
      </c>
      <c r="G5" s="14">
        <f t="shared" si="0"/>
        <v>5682000</v>
      </c>
      <c r="H5" s="14">
        <f t="shared" si="1"/>
        <v>817104.24297578831</v>
      </c>
      <c r="I5" s="14">
        <f t="shared" si="2"/>
        <v>4864895.7570242118</v>
      </c>
    </row>
    <row r="6" spans="1:9" ht="15.75" customHeight="1" x14ac:dyDescent="0.2">
      <c r="A6" s="7">
        <f t="shared" si="3"/>
        <v>2025</v>
      </c>
      <c r="B6" s="52">
        <v>778708.75800000003</v>
      </c>
      <c r="C6" s="53">
        <v>1318000</v>
      </c>
      <c r="D6" s="53">
        <v>2090000</v>
      </c>
      <c r="E6" s="53">
        <v>1522000</v>
      </c>
      <c r="F6" s="53">
        <v>937000</v>
      </c>
      <c r="G6" s="14">
        <f t="shared" si="0"/>
        <v>5867000</v>
      </c>
      <c r="H6" s="14">
        <f t="shared" si="1"/>
        <v>829772.84813842399</v>
      </c>
      <c r="I6" s="14">
        <f t="shared" si="2"/>
        <v>5037227.1518615764</v>
      </c>
    </row>
    <row r="7" spans="1:9" ht="15.75" customHeight="1" x14ac:dyDescent="0.2">
      <c r="A7" s="7">
        <f t="shared" si="3"/>
        <v>2026</v>
      </c>
      <c r="B7" s="52">
        <v>789707.23920000007</v>
      </c>
      <c r="C7" s="53">
        <v>1341000</v>
      </c>
      <c r="D7" s="53">
        <v>2153000</v>
      </c>
      <c r="E7" s="53">
        <v>1573000</v>
      </c>
      <c r="F7" s="53">
        <v>983000</v>
      </c>
      <c r="G7" s="14">
        <f t="shared" si="0"/>
        <v>6050000</v>
      </c>
      <c r="H7" s="14">
        <f t="shared" si="1"/>
        <v>841492.55846242292</v>
      </c>
      <c r="I7" s="14">
        <f t="shared" si="2"/>
        <v>5208507.4415375767</v>
      </c>
    </row>
    <row r="8" spans="1:9" ht="15.75" customHeight="1" x14ac:dyDescent="0.2">
      <c r="A8" s="7">
        <f t="shared" si="3"/>
        <v>2027</v>
      </c>
      <c r="B8" s="52">
        <v>800580.06239999994</v>
      </c>
      <c r="C8" s="53">
        <v>1357000</v>
      </c>
      <c r="D8" s="53">
        <v>2221000</v>
      </c>
      <c r="E8" s="53">
        <v>1624000</v>
      </c>
      <c r="F8" s="53">
        <v>1033000</v>
      </c>
      <c r="G8" s="14">
        <f t="shared" si="0"/>
        <v>6235000</v>
      </c>
      <c r="H8" s="14">
        <f t="shared" si="1"/>
        <v>853078.37072057836</v>
      </c>
      <c r="I8" s="14">
        <f t="shared" si="2"/>
        <v>5381921.6292794216</v>
      </c>
    </row>
    <row r="9" spans="1:9" ht="15.75" customHeight="1" x14ac:dyDescent="0.2">
      <c r="A9" s="7">
        <f t="shared" si="3"/>
        <v>2028</v>
      </c>
      <c r="B9" s="52">
        <v>811278.2503999999</v>
      </c>
      <c r="C9" s="53">
        <v>1368000</v>
      </c>
      <c r="D9" s="53">
        <v>2290000</v>
      </c>
      <c r="E9" s="53">
        <v>1671000</v>
      </c>
      <c r="F9" s="53">
        <v>1084000</v>
      </c>
      <c r="G9" s="14">
        <f t="shared" si="0"/>
        <v>6413000</v>
      </c>
      <c r="H9" s="14">
        <f t="shared" si="1"/>
        <v>864478.09601643833</v>
      </c>
      <c r="I9" s="14">
        <f t="shared" si="2"/>
        <v>5548521.9039835613</v>
      </c>
    </row>
    <row r="10" spans="1:9" ht="15.75" customHeight="1" x14ac:dyDescent="0.2">
      <c r="A10" s="7">
        <f t="shared" si="3"/>
        <v>2029</v>
      </c>
      <c r="B10" s="52">
        <v>821691.09239999985</v>
      </c>
      <c r="C10" s="53">
        <v>1382000</v>
      </c>
      <c r="D10" s="53">
        <v>2358000</v>
      </c>
      <c r="E10" s="53">
        <v>1721000</v>
      </c>
      <c r="F10" s="53">
        <v>1137000</v>
      </c>
      <c r="G10" s="14">
        <f t="shared" si="0"/>
        <v>6598000</v>
      </c>
      <c r="H10" s="14">
        <f t="shared" si="1"/>
        <v>875573.76365185401</v>
      </c>
      <c r="I10" s="14">
        <f t="shared" si="2"/>
        <v>5722426.2363481456</v>
      </c>
    </row>
    <row r="11" spans="1:9" ht="15.75" customHeight="1" x14ac:dyDescent="0.2">
      <c r="A11" s="7">
        <f t="shared" si="3"/>
        <v>2030</v>
      </c>
      <c r="B11" s="52">
        <v>831838.24399999995</v>
      </c>
      <c r="C11" s="53">
        <v>1403000</v>
      </c>
      <c r="D11" s="53">
        <v>2423000</v>
      </c>
      <c r="E11" s="53">
        <v>1771000</v>
      </c>
      <c r="F11" s="53">
        <v>1190000</v>
      </c>
      <c r="G11" s="14">
        <f t="shared" si="0"/>
        <v>6787000</v>
      </c>
      <c r="H11" s="14">
        <f t="shared" si="1"/>
        <v>886386.31814944255</v>
      </c>
      <c r="I11" s="14">
        <f t="shared" si="2"/>
        <v>5900613.6818505572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GmynRdZ0bmKh+XXFL+pOM53oGw/X9ag2zs1Ov2jD8jlF+DsV8yVvPno6affG/2eInpG4reWqEb7dJOnm9Pizmw==" saltValue="xR8+9ffGYOKO0jj/Ve/Cc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GxNTP/7HCvB2jrOYUzSHvXKBBDJhsyk0HsWq1vno2c8/f4vZe6CMEV9T2szzLLlmZ1+Lkn3YqW9tb7pvn1rKiQ==" saltValue="2RZYlNi5ZQHKfAJZQ+3Jz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YXjrlDhACL4g5Kab94knjEZCX1Q7XYjYQj4qKy+nNpyEC60fCroxqUKaRGhWJtv96JXD4LI1Jsmcm9ly28oaDg==" saltValue="1dVfKtbHW4ZsUZFRmb5w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m+OvDT7UOp6vV61yMr8DljvOWVJzNrOybUD59TlVrZy457WCZqm4j95xENkjXvB432sIYBdfgahT/HtcvpSjVw==" saltValue="SlUZDxsYBdgVmGp4JJF1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RLrLCe2zHjZCVp461+DCU6OYtRWC4icPX64iU4tEEAYEwQ2FWyjx2pzm52mGn6Y2QHoT+yXdBah+kcEy1w5Zog==" saltValue="p6cgw3G86pagrlLGfaoV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aFbnmMA+6qPxyrZdKOPnrt0mkoIdi7H2za7hXXIK9192PIJXFoj2oE8xFlIFz3r9ywFwhPxck6gOVdTM7mliIA==" saltValue="FmwXQ0EGsfTtLHseRTa0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HpWS3/OUejQ2X2KHSCHBH6/ipZhYIHbxm8DEAAJd7ZpL0IJJ9fA6hzxVBUFt4U7w4FLFn3WUB3Ab9PSslvqx9w==" saltValue="IuL7jYnWFM4wmQvkXpyP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wmXWH6FYdI+66nRVgsLgoaA216UYGIN/vNfvzE+087W4YjW01htNqcXzazQuUG+ohhQUT8bpMkKO8mXS97nZig==" saltValue="0NIvEAlJFHzNeDMcG9G+q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XGpwFWGce9JQ6wMBJsCUXCoxTZyfdaDBRk+Pa2LI9SHNDFNh6z4yiFykfGqJi7yv13QUvvXsnq49Seehvn/f9Q==" saltValue="LsHCXoMVGEAYC/VsIc29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jpFCqeOQeyrsi78etm8m3+zxbBzdpBaObyTn8TsN9ZuMWM6H5OGUtHzMwbYXtDYVQvhYY21SxAAvZZhwZ79nBg==" saltValue="fEQ4Ix0dQ8faIQAb68GKf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3.6796433774456462E-3</v>
      </c>
    </row>
    <row r="4" spans="1:8" ht="15.75" customHeight="1" x14ac:dyDescent="0.2">
      <c r="B4" s="16" t="s">
        <v>79</v>
      </c>
      <c r="C4" s="54">
        <v>0.16057498515377011</v>
      </c>
    </row>
    <row r="5" spans="1:8" ht="15.75" customHeight="1" x14ac:dyDescent="0.2">
      <c r="B5" s="16" t="s">
        <v>80</v>
      </c>
      <c r="C5" s="54">
        <v>6.2631085731936154E-2</v>
      </c>
    </row>
    <row r="6" spans="1:8" ht="15.75" customHeight="1" x14ac:dyDescent="0.2">
      <c r="B6" s="16" t="s">
        <v>81</v>
      </c>
      <c r="C6" s="54">
        <v>0.2579552079354307</v>
      </c>
    </row>
    <row r="7" spans="1:8" ht="15.75" customHeight="1" x14ac:dyDescent="0.2">
      <c r="B7" s="16" t="s">
        <v>82</v>
      </c>
      <c r="C7" s="54">
        <v>0.32193532680455061</v>
      </c>
    </row>
    <row r="8" spans="1:8" ht="15.75" customHeight="1" x14ac:dyDescent="0.2">
      <c r="B8" s="16" t="s">
        <v>83</v>
      </c>
      <c r="C8" s="54">
        <v>4.8515110372441177E-3</v>
      </c>
    </row>
    <row r="9" spans="1:8" ht="15.75" customHeight="1" x14ac:dyDescent="0.2">
      <c r="B9" s="16" t="s">
        <v>84</v>
      </c>
      <c r="C9" s="54">
        <v>0.1105911554708713</v>
      </c>
    </row>
    <row r="10" spans="1:8" ht="15.75" customHeight="1" x14ac:dyDescent="0.2">
      <c r="B10" s="16" t="s">
        <v>85</v>
      </c>
      <c r="C10" s="54">
        <v>7.7781084488751318E-2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0.1055328755446642</v>
      </c>
      <c r="D14" s="54">
        <v>0.1055328755446642</v>
      </c>
      <c r="E14" s="54">
        <v>0.1055328755446642</v>
      </c>
      <c r="F14" s="54">
        <v>0.1055328755446642</v>
      </c>
    </row>
    <row r="15" spans="1:8" ht="15.75" customHeight="1" x14ac:dyDescent="0.2">
      <c r="B15" s="16" t="s">
        <v>88</v>
      </c>
      <c r="C15" s="54">
        <v>0.17231695238114289</v>
      </c>
      <c r="D15" s="54">
        <v>0.17231695238114289</v>
      </c>
      <c r="E15" s="54">
        <v>0.17231695238114289</v>
      </c>
      <c r="F15" s="54">
        <v>0.17231695238114289</v>
      </c>
    </row>
    <row r="16" spans="1:8" ht="15.75" customHeight="1" x14ac:dyDescent="0.2">
      <c r="B16" s="16" t="s">
        <v>89</v>
      </c>
      <c r="C16" s="54">
        <v>2.2334060875490249E-2</v>
      </c>
      <c r="D16" s="54">
        <v>2.2334060875490249E-2</v>
      </c>
      <c r="E16" s="54">
        <v>2.2334060875490249E-2</v>
      </c>
      <c r="F16" s="54">
        <v>2.2334060875490249E-2</v>
      </c>
    </row>
    <row r="17" spans="1:8" ht="15.75" customHeight="1" x14ac:dyDescent="0.2">
      <c r="B17" s="16" t="s">
        <v>90</v>
      </c>
      <c r="C17" s="54">
        <v>1.4244384076476329E-2</v>
      </c>
      <c r="D17" s="54">
        <v>1.4244384076476329E-2</v>
      </c>
      <c r="E17" s="54">
        <v>1.4244384076476329E-2</v>
      </c>
      <c r="F17" s="54">
        <v>1.4244384076476329E-2</v>
      </c>
    </row>
    <row r="18" spans="1:8" ht="15.75" customHeight="1" x14ac:dyDescent="0.2">
      <c r="B18" s="16" t="s">
        <v>91</v>
      </c>
      <c r="C18" s="54">
        <v>0.13936730719268059</v>
      </c>
      <c r="D18" s="54">
        <v>0.13936730719268059</v>
      </c>
      <c r="E18" s="54">
        <v>0.13936730719268059</v>
      </c>
      <c r="F18" s="54">
        <v>0.13936730719268059</v>
      </c>
    </row>
    <row r="19" spans="1:8" ht="15.75" customHeight="1" x14ac:dyDescent="0.2">
      <c r="B19" s="16" t="s">
        <v>92</v>
      </c>
      <c r="C19" s="54">
        <v>1.623165617877162E-2</v>
      </c>
      <c r="D19" s="54">
        <v>1.623165617877162E-2</v>
      </c>
      <c r="E19" s="54">
        <v>1.623165617877162E-2</v>
      </c>
      <c r="F19" s="54">
        <v>1.623165617877162E-2</v>
      </c>
    </row>
    <row r="20" spans="1:8" ht="15.75" customHeight="1" x14ac:dyDescent="0.2">
      <c r="B20" s="16" t="s">
        <v>93</v>
      </c>
      <c r="C20" s="54">
        <v>0.1045164297685556</v>
      </c>
      <c r="D20" s="54">
        <v>0.1045164297685556</v>
      </c>
      <c r="E20" s="54">
        <v>0.1045164297685556</v>
      </c>
      <c r="F20" s="54">
        <v>0.1045164297685556</v>
      </c>
    </row>
    <row r="21" spans="1:8" ht="15.75" customHeight="1" x14ac:dyDescent="0.2">
      <c r="B21" s="16" t="s">
        <v>94</v>
      </c>
      <c r="C21" s="54">
        <v>0.1006447583265789</v>
      </c>
      <c r="D21" s="54">
        <v>0.1006447583265789</v>
      </c>
      <c r="E21" s="54">
        <v>0.1006447583265789</v>
      </c>
      <c r="F21" s="54">
        <v>0.1006447583265789</v>
      </c>
    </row>
    <row r="22" spans="1:8" ht="15.75" customHeight="1" x14ac:dyDescent="0.2">
      <c r="B22" s="16" t="s">
        <v>95</v>
      </c>
      <c r="C22" s="54">
        <v>0.32481157565563978</v>
      </c>
      <c r="D22" s="54">
        <v>0.32481157565563978</v>
      </c>
      <c r="E22" s="54">
        <v>0.32481157565563978</v>
      </c>
      <c r="F22" s="54">
        <v>0.32481157565563978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8.1900000000000001E-2</v>
      </c>
    </row>
    <row r="27" spans="1:8" ht="15.75" customHeight="1" x14ac:dyDescent="0.2">
      <c r="B27" s="16" t="s">
        <v>102</v>
      </c>
      <c r="C27" s="54">
        <v>8.199999999999999E-3</v>
      </c>
    </row>
    <row r="28" spans="1:8" ht="15.75" customHeight="1" x14ac:dyDescent="0.2">
      <c r="B28" s="16" t="s">
        <v>103</v>
      </c>
      <c r="C28" s="54">
        <v>0.14549999999999999</v>
      </c>
    </row>
    <row r="29" spans="1:8" ht="15.75" customHeight="1" x14ac:dyDescent="0.2">
      <c r="B29" s="16" t="s">
        <v>104</v>
      </c>
      <c r="C29" s="54">
        <v>0.15759999999999999</v>
      </c>
    </row>
    <row r="30" spans="1:8" ht="15.75" customHeight="1" x14ac:dyDescent="0.2">
      <c r="B30" s="16" t="s">
        <v>2</v>
      </c>
      <c r="C30" s="54">
        <v>9.9199999999999997E-2</v>
      </c>
    </row>
    <row r="31" spans="1:8" ht="15.75" customHeight="1" x14ac:dyDescent="0.2">
      <c r="B31" s="16" t="s">
        <v>105</v>
      </c>
      <c r="C31" s="54">
        <v>0.1022</v>
      </c>
    </row>
    <row r="32" spans="1:8" ht="15.75" customHeight="1" x14ac:dyDescent="0.2">
      <c r="B32" s="16" t="s">
        <v>106</v>
      </c>
      <c r="C32" s="54">
        <v>1.7399999999999999E-2</v>
      </c>
    </row>
    <row r="33" spans="2:3" ht="15.75" customHeight="1" x14ac:dyDescent="0.2">
      <c r="B33" s="16" t="s">
        <v>107</v>
      </c>
      <c r="C33" s="54">
        <v>7.9100000000000004E-2</v>
      </c>
    </row>
    <row r="34" spans="2:3" ht="15.75" customHeight="1" x14ac:dyDescent="0.2">
      <c r="B34" s="16" t="s">
        <v>108</v>
      </c>
      <c r="C34" s="54">
        <v>0.30890000000000001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2tzHLyQoU7Re4ZG/QFq+oDYrmHRdkEAn03499FS2Z4chmDagJFh4AZfoNybTojFU+rlJExX0SPbyusXQ46Wy5A==" saltValue="6VrKOT5DMa2PJsQjehWwg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0.52376258373260498</v>
      </c>
      <c r="D2" s="55">
        <v>0.52376258373260498</v>
      </c>
      <c r="E2" s="55">
        <v>0.45216768980026301</v>
      </c>
      <c r="F2" s="55">
        <v>0.29545441269874601</v>
      </c>
      <c r="G2" s="55">
        <v>0.24348992109298701</v>
      </c>
    </row>
    <row r="3" spans="1:15" ht="15.75" customHeight="1" x14ac:dyDescent="0.2">
      <c r="B3" s="7" t="s">
        <v>113</v>
      </c>
      <c r="C3" s="55">
        <v>0.229632318019867</v>
      </c>
      <c r="D3" s="55">
        <v>0.229632318019867</v>
      </c>
      <c r="E3" s="55">
        <v>0.31316214799880998</v>
      </c>
      <c r="F3" s="55">
        <v>0.32184654474258401</v>
      </c>
      <c r="G3" s="55">
        <v>0.34781935811042802</v>
      </c>
    </row>
    <row r="4" spans="1:15" ht="15.75" customHeight="1" x14ac:dyDescent="0.2">
      <c r="B4" s="7" t="s">
        <v>114</v>
      </c>
      <c r="C4" s="56">
        <v>0.16765336692333199</v>
      </c>
      <c r="D4" s="56">
        <v>0.16765336692333199</v>
      </c>
      <c r="E4" s="56">
        <v>0.17982457578182201</v>
      </c>
      <c r="F4" s="56">
        <v>0.28856536746025102</v>
      </c>
      <c r="G4" s="56">
        <v>0.28482377529144298</v>
      </c>
    </row>
    <row r="5" spans="1:15" ht="15.75" customHeight="1" x14ac:dyDescent="0.2">
      <c r="B5" s="7" t="s">
        <v>115</v>
      </c>
      <c r="C5" s="56">
        <v>7.8951746225357097E-2</v>
      </c>
      <c r="D5" s="56">
        <v>7.8951746225357097E-2</v>
      </c>
      <c r="E5" s="56">
        <v>5.4845582693815197E-2</v>
      </c>
      <c r="F5" s="56">
        <v>9.4133660197257996E-2</v>
      </c>
      <c r="G5" s="56">
        <v>0.123866945505142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0.90821433067321811</v>
      </c>
      <c r="D8" s="55">
        <v>0.90821433067321811</v>
      </c>
      <c r="E8" s="55">
        <v>0.83235752582550004</v>
      </c>
      <c r="F8" s="55">
        <v>0.849057257175446</v>
      </c>
      <c r="G8" s="55">
        <v>0.87342673540115401</v>
      </c>
    </row>
    <row r="9" spans="1:15" ht="15.75" customHeight="1" x14ac:dyDescent="0.2">
      <c r="B9" s="7" t="s">
        <v>118</v>
      </c>
      <c r="C9" s="55">
        <v>5.2459444850683212E-2</v>
      </c>
      <c r="D9" s="55">
        <v>5.2459444850683212E-2</v>
      </c>
      <c r="E9" s="55">
        <v>0.12688422203064001</v>
      </c>
      <c r="F9" s="55">
        <v>0.116544559597969</v>
      </c>
      <c r="G9" s="55">
        <v>0.104001559317112</v>
      </c>
    </row>
    <row r="10" spans="1:15" ht="15.75" customHeight="1" x14ac:dyDescent="0.2">
      <c r="B10" s="7" t="s">
        <v>119</v>
      </c>
      <c r="C10" s="56">
        <v>2.51313745975494E-2</v>
      </c>
      <c r="D10" s="56">
        <v>2.51313745975494E-2</v>
      </c>
      <c r="E10" s="56">
        <v>3.3822167664766298E-2</v>
      </c>
      <c r="F10" s="56">
        <v>3.0062863603234301E-2</v>
      </c>
      <c r="G10" s="56">
        <v>1.6471290960907901E-2</v>
      </c>
    </row>
    <row r="11" spans="1:15" ht="15.75" customHeight="1" x14ac:dyDescent="0.2">
      <c r="B11" s="7" t="s">
        <v>120</v>
      </c>
      <c r="C11" s="56">
        <v>1.41948442906141E-2</v>
      </c>
      <c r="D11" s="56">
        <v>1.41948442906141E-2</v>
      </c>
      <c r="E11" s="56">
        <v>6.9361058995127999E-3</v>
      </c>
      <c r="F11" s="56">
        <v>4.3353070504962999E-3</v>
      </c>
      <c r="G11" s="56">
        <v>6.1004189774394001E-3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0.92287291025000007</v>
      </c>
      <c r="D14" s="57">
        <v>0.92046457879800003</v>
      </c>
      <c r="E14" s="57">
        <v>0.92046457879800003</v>
      </c>
      <c r="F14" s="57">
        <v>0.65915158875500002</v>
      </c>
      <c r="G14" s="57">
        <v>0.65915158875500002</v>
      </c>
      <c r="H14" s="58">
        <v>0.41799999999999998</v>
      </c>
      <c r="I14" s="58">
        <v>0.41799999999999998</v>
      </c>
      <c r="J14" s="58">
        <v>0.41799999999999998</v>
      </c>
      <c r="K14" s="58">
        <v>0.41799999999999998</v>
      </c>
      <c r="L14" s="58">
        <v>0.50387126232099999</v>
      </c>
      <c r="M14" s="58">
        <v>0.30772150349999999</v>
      </c>
      <c r="N14" s="58">
        <v>0.32862500184699989</v>
      </c>
      <c r="O14" s="58">
        <v>0.35603378418600001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0.42946924105003559</v>
      </c>
      <c r="D15" s="55">
        <f t="shared" si="0"/>
        <v>0.42834849704574229</v>
      </c>
      <c r="E15" s="55">
        <f t="shared" si="0"/>
        <v>0.42834849704574229</v>
      </c>
      <c r="F15" s="55">
        <f t="shared" si="0"/>
        <v>0.30674357153126219</v>
      </c>
      <c r="G15" s="55">
        <f t="shared" si="0"/>
        <v>0.30674357153126219</v>
      </c>
      <c r="H15" s="55">
        <f t="shared" si="0"/>
        <v>0.19452097982839761</v>
      </c>
      <c r="I15" s="55">
        <f t="shared" si="0"/>
        <v>0.19452097982839761</v>
      </c>
      <c r="J15" s="55">
        <f t="shared" si="0"/>
        <v>0.19452097982839761</v>
      </c>
      <c r="K15" s="55">
        <f t="shared" si="0"/>
        <v>0.19452097982839761</v>
      </c>
      <c r="L15" s="55">
        <f t="shared" si="0"/>
        <v>0.23448213314366623</v>
      </c>
      <c r="M15" s="55">
        <f t="shared" si="0"/>
        <v>0.14320164683035333</v>
      </c>
      <c r="N15" s="55">
        <f t="shared" si="0"/>
        <v>0.15292932381671626</v>
      </c>
      <c r="O15" s="55">
        <f t="shared" si="0"/>
        <v>0.16568430754036598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PTRe3q3p/f5WVW1IruSiXXIUvm5EU+k0NYE1x+Jpvwn5Zz01qhY/aAHmupbS8s3jcUd9E/jviXgiIJa4yAgwCA==" saltValue="MRFc4Ff0erpW8NQdf5VM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0.80309092998504594</v>
      </c>
      <c r="D2" s="56">
        <v>0.56868370000000001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4.8140969127416597E-2</v>
      </c>
      <c r="D3" s="56">
        <v>0.13101789999999999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5.8573428541421897E-2</v>
      </c>
      <c r="D4" s="56">
        <v>0.23337350000000001</v>
      </c>
      <c r="E4" s="56">
        <v>0.93281197547912598</v>
      </c>
      <c r="F4" s="56">
        <v>0.83831000328063998</v>
      </c>
      <c r="G4" s="56">
        <v>0</v>
      </c>
    </row>
    <row r="5" spans="1:7" x14ac:dyDescent="0.2">
      <c r="B5" s="98" t="s">
        <v>132</v>
      </c>
      <c r="C5" s="55">
        <v>9.0194672346115501E-2</v>
      </c>
      <c r="D5" s="55">
        <v>6.6924900000000107E-2</v>
      </c>
      <c r="E5" s="55">
        <v>6.7188024520874023E-2</v>
      </c>
      <c r="F5" s="55">
        <v>0.1616899967193601</v>
      </c>
      <c r="G5" s="55">
        <v>1</v>
      </c>
    </row>
  </sheetData>
  <sheetProtection algorithmName="SHA-512" hashValue="xtMuZF1wc2nPppUwRox9gCd3HYW1Ps3rQc+Dpc26eYmU3VdtmtnrwWQsK7XevvLbbz0QDYLPVl97VI+TNBhiUg==" saltValue="VQmo7LOadcsTly1ZhkSHs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B+kC0qCeAh8Wqplk6oNjea2p/XtCd541Bu6RYb85XNik3cCU5HjMvEvGsrSqK/ek7hVWhskac8QOYVR4Kukjtw==" saltValue="mhkyqcSTas9CV6bfa22XY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CI82a55tInbcAuVK0qO7QogU4B0jMbIoOZr2z4vALhiHKq/JqxXzBLXIREqRG4GMKJE6fciS/ocoJuC5DYYBKQ==" saltValue="vgLjW4w3XWdGkzhQJ39Ix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MYM1cVS8zr6q27nx49KJhydpfqm5HkGU947yMATjK9v5I+ZKWrQqAyv693BcpuGkGYruF6w3WbQ1yaeA8Mho3Q==" saltValue="Apzw6VZi+ybPhq/LJuyfo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cmlMXDL6kLta+DhSVRFUvqA1ebO50LS11gmiPShclM5qGPWXcLsLhkqayY/Ur85PtOg6uqhLMv0+/0BestlxSA==" saltValue="UAI74jWuGw6LdngQurppe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2022-02-02T07:50:38Z</dcterms:modified>
</cp:coreProperties>
</file>