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072838AA-49DB-4988-A89F-6460DC2D0652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I38" i="2" s="1"/>
  <c r="A18" i="2"/>
  <c r="A17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I6" i="2" s="1"/>
  <c r="G6" i="2"/>
  <c r="H5" i="2"/>
  <c r="G5" i="2"/>
  <c r="I5" i="2" s="1"/>
  <c r="H4" i="2"/>
  <c r="G4" i="2"/>
  <c r="H3" i="2"/>
  <c r="G3" i="2"/>
  <c r="H2" i="2"/>
  <c r="I2" i="2" s="1"/>
  <c r="G2" i="2"/>
  <c r="A2" i="2"/>
  <c r="A32" i="2" s="1"/>
  <c r="C33" i="1"/>
  <c r="C20" i="1"/>
  <c r="A34" i="2" l="1"/>
  <c r="A35" i="2"/>
  <c r="I8" i="2"/>
  <c r="A19" i="2"/>
  <c r="A25" i="2"/>
  <c r="A26" i="2"/>
  <c r="A39" i="2"/>
  <c r="I4" i="2"/>
  <c r="I3" i="2"/>
  <c r="I7" i="2"/>
  <c r="A27" i="2"/>
  <c r="I39" i="2"/>
  <c r="I11" i="2"/>
  <c r="A33" i="2"/>
  <c r="A12" i="2"/>
  <c r="A20" i="2"/>
  <c r="A36" i="2"/>
  <c r="A28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<sst xmlns="http://schemas.openxmlformats.org/spreadsheetml/2006/main" count="2092" uniqueCount="337">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</sst>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334445.19140625</v>
      </c>
    </row>
    <row r="8" spans="1:3" ht="15" customHeight="1" x14ac:dyDescent="0.2">
      <c r="B8" s="7" t="s">
        <v>19</v>
      </c>
      <c r="C8" s="46">
        <v>0.17399999999999999</v>
      </c>
    </row>
    <row r="9" spans="1:3" ht="15" customHeight="1" x14ac:dyDescent="0.2">
      <c r="B9" s="7" t="s">
        <v>20</v>
      </c>
      <c r="C9" s="47">
        <v>0.27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0.625</v>
      </c>
    </row>
    <row r="12" spans="1:3" ht="15" customHeight="1" x14ac:dyDescent="0.2">
      <c r="B12" s="7" t="s">
        <v>23</v>
      </c>
      <c r="C12" s="46">
        <v>0.68</v>
      </c>
    </row>
    <row r="13" spans="1:3" ht="15" customHeight="1" x14ac:dyDescent="0.2">
      <c r="B13" s="7" t="s">
        <v>24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0.1114</v>
      </c>
    </row>
    <row r="24" spans="1:3" ht="15" customHeight="1" x14ac:dyDescent="0.2">
      <c r="B24" s="12" t="s">
        <v>33</v>
      </c>
      <c r="C24" s="47">
        <v>0.47339999999999999</v>
      </c>
    </row>
    <row r="25" spans="1:3" ht="15" customHeight="1" x14ac:dyDescent="0.2">
      <c r="B25" s="12" t="s">
        <v>34</v>
      </c>
      <c r="C25" s="47">
        <v>0.35499999999999998</v>
      </c>
    </row>
    <row r="26" spans="1:3" ht="15" customHeight="1" x14ac:dyDescent="0.2">
      <c r="B26" s="12" t="s">
        <v>35</v>
      </c>
      <c r="C26" s="47">
        <v>6.0199999999999997E-2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0.32600000000000001</v>
      </c>
    </row>
    <row r="30" spans="1:3" ht="14.25" customHeight="1" x14ac:dyDescent="0.2">
      <c r="B30" s="22" t="s">
        <v>38</v>
      </c>
      <c r="C30" s="49">
        <v>3.4000000000000002E-2</v>
      </c>
    </row>
    <row r="31" spans="1:3" ht="14.25" customHeight="1" x14ac:dyDescent="0.2">
      <c r="B31" s="22" t="s">
        <v>39</v>
      </c>
      <c r="C31" s="49">
        <v>7.2999999999999995E-2</v>
      </c>
    </row>
    <row r="32" spans="1:3" ht="14.25" customHeight="1" x14ac:dyDescent="0.2">
      <c r="B32" s="22" t="s">
        <v>40</v>
      </c>
      <c r="C32" s="49">
        <v>0.56700000000000006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19.130055693338502</v>
      </c>
    </row>
    <row r="38" spans="1:5" ht="15" customHeight="1" x14ac:dyDescent="0.2">
      <c r="B38" s="28" t="s">
        <v>45</v>
      </c>
      <c r="C38" s="117">
        <v>30.725068284753</v>
      </c>
      <c r="D38" s="9"/>
      <c r="E38" s="10"/>
    </row>
    <row r="39" spans="1:5" ht="15" customHeight="1" x14ac:dyDescent="0.2">
      <c r="B39" s="28" t="s">
        <v>46</v>
      </c>
      <c r="C39" s="117">
        <v>42.355913899603301</v>
      </c>
      <c r="D39" s="9"/>
      <c r="E39" s="9"/>
    </row>
    <row r="40" spans="1:5" ht="15" customHeight="1" x14ac:dyDescent="0.2">
      <c r="B40" s="28" t="s">
        <v>47</v>
      </c>
      <c r="C40" s="117">
        <v>195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14.73131177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2.3284099999999999E-2</v>
      </c>
      <c r="D45" s="9"/>
    </row>
    <row r="46" spans="1:5" ht="15.75" customHeight="1" x14ac:dyDescent="0.2">
      <c r="B46" s="28" t="s">
        <v>52</v>
      </c>
      <c r="C46" s="47">
        <v>0.1212066</v>
      </c>
      <c r="D46" s="9"/>
    </row>
    <row r="47" spans="1:5" ht="15.75" customHeight="1" x14ac:dyDescent="0.2">
      <c r="B47" s="28" t="s">
        <v>53</v>
      </c>
      <c r="C47" s="47">
        <v>0.22237270000000001</v>
      </c>
      <c r="D47" s="9"/>
      <c r="E47" s="10"/>
    </row>
    <row r="48" spans="1:5" ht="15" customHeight="1" x14ac:dyDescent="0.2">
      <c r="B48" s="28" t="s">
        <v>54</v>
      </c>
      <c r="C48" s="48">
        <v>0.63313659999999994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0.4468569680171719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15.525137000000001</v>
      </c>
    </row>
    <row r="63" spans="1:4" ht="15.75" customHeight="1" x14ac:dyDescent="0.2">
      <c r="A63" s="39"/>
    </row>
  </sheetData>
  <sheetProtection algorithmName="SHA-512" hashValue="rcey2JtKmu6SNeCN2KTiFIZlxsCjM7C1x3pN1Tx9lZTxmfj7Z4GIT0KmkfzZoPwaL/Vha6IOkE/O+ZxE0VZidA==" saltValue="7ZfLja37MzjFXIAsD9jU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0.42074002226121898</v>
      </c>
      <c r="C2" s="115">
        <v>0.95</v>
      </c>
      <c r="D2" s="116">
        <v>59.757730837177341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39.918868339226442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441.49789473503643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1.4695112663172401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13.05116778302235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13.05116778302235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13.05116778302235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13.05116778302235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13.05116778302235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13.05116778302235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4.9177279999999997E-2</v>
      </c>
      <c r="C16" s="115">
        <v>0.95</v>
      </c>
      <c r="D16" s="116">
        <v>0.75814631923040521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0.24890229999999999</v>
      </c>
      <c r="C18" s="115">
        <v>0.95</v>
      </c>
      <c r="D18" s="116">
        <v>10.16995323631398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0.24890229999999999</v>
      </c>
      <c r="C19" s="115">
        <v>0.95</v>
      </c>
      <c r="D19" s="116">
        <v>10.16995323631398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0.8770715</v>
      </c>
      <c r="C21" s="115">
        <v>0.95</v>
      </c>
      <c r="D21" s="116">
        <v>12.173502103595631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22.54259034226105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4.3037053742427069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0.81891578317094993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0.38645261526107799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18.626611965744981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1.6270960913971099E-3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0.311</v>
      </c>
      <c r="C29" s="115">
        <v>0.95</v>
      </c>
      <c r="D29" s="116">
        <v>117.5926597258641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2.1005836053346112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1.6314175230449219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0.1258640003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0.32672595980000002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0.79272694072911609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0.44599903852755401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4.5084408768645172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0.34503736926834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/wwcvzjN8hptyy8U3hTaZoXJalFvegMl1XKHHKJdqEDTF3/AMc3sBZckJtPZ5opgQaDHebj5fzj8ejvv0iUI7A==" saltValue="GuZpm24WPTyAlqxtpZ6K8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sDwHPao/vvsgqOHoliIk0dW0Ur7k26zkmWbp7FoND8hur5i7RNOno4GOSMuIW9n815LUxJp+UBIGVu4CDT0ZvA==" saltValue="enQeuHq2YY5DwntqlgW5Z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s3OOeibZPYcA1Cke9MV813QK6/nATGCuknzbXxfpmavLt51oqstAqB44zdMqXSxwOAeApkQcGqugWcS3w0baMw==" saltValue="LJl1yQzoh0FVjTGkYIA3u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0.12738451883196833</v>
      </c>
      <c r="C3" s="18">
        <f>frac_mam_1_5months * 2.6</f>
        <v>0.12738451883196833</v>
      </c>
      <c r="D3" s="18">
        <f>frac_mam_6_11months * 2.6</f>
        <v>0.26267302036285439</v>
      </c>
      <c r="E3" s="18">
        <f>frac_mam_12_23months * 2.6</f>
        <v>0.11638083308935175</v>
      </c>
      <c r="F3" s="18">
        <f>frac_mam_24_59months * 2.6</f>
        <v>8.4054365009069515E-2</v>
      </c>
    </row>
    <row r="4" spans="1:6" ht="15.75" customHeight="1" x14ac:dyDescent="0.2">
      <c r="A4" s="4" t="s">
        <v>208</v>
      </c>
      <c r="B4" s="18">
        <f>frac_sam_1month * 2.6</f>
        <v>0.19302335828542702</v>
      </c>
      <c r="C4" s="18">
        <f>frac_sam_1_5months * 2.6</f>
        <v>0.19302335828542702</v>
      </c>
      <c r="D4" s="18">
        <f>frac_sam_6_11months * 2.6</f>
        <v>0.15608308091759682</v>
      </c>
      <c r="E4" s="18">
        <f>frac_sam_12_23months * 2.6</f>
        <v>0.11360412091016768</v>
      </c>
      <c r="F4" s="18">
        <f>frac_sam_24_59months * 2.6</f>
        <v>2.5656305253505679E-2</v>
      </c>
    </row>
  </sheetData>
  <sheetProtection algorithmName="SHA-512" hashValue="iUZtL0TWbZHJvu3ELTxPJegw0h4CVMG+MWgKLr+5BmLwo4YaZEv6YG1yN1EuhIA/OHBvN6jvaVmHzc7WXRlSqA==" saltValue="/lQ2Nk5TgwuxO3mN94ix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0.17399999999999999</v>
      </c>
      <c r="E2" s="65">
        <f>food_insecure</f>
        <v>0.17399999999999999</v>
      </c>
      <c r="F2" s="65">
        <f>food_insecure</f>
        <v>0.17399999999999999</v>
      </c>
      <c r="G2" s="65">
        <f>food_insecure</f>
        <v>0.17399999999999999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0.17399999999999999</v>
      </c>
      <c r="F5" s="65">
        <f>food_insecure</f>
        <v>0.17399999999999999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0.17399999999999999</v>
      </c>
      <c r="F8" s="65">
        <f>food_insecure</f>
        <v>0.17399999999999999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0.17399999999999999</v>
      </c>
      <c r="F9" s="65">
        <f>food_insecure</f>
        <v>0.17399999999999999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0.68</v>
      </c>
      <c r="E10" s="65">
        <f>IF(ISBLANK(comm_deliv), frac_children_health_facility,1)</f>
        <v>0.68</v>
      </c>
      <c r="F10" s="65">
        <f>IF(ISBLANK(comm_deliv), frac_children_health_facility,1)</f>
        <v>0.68</v>
      </c>
      <c r="G10" s="65">
        <f>IF(ISBLANK(comm_deliv), frac_children_health_facility,1)</f>
        <v>0.68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0.17399999999999999</v>
      </c>
      <c r="I15" s="65">
        <f>food_insecure</f>
        <v>0.17399999999999999</v>
      </c>
      <c r="J15" s="65">
        <f>food_insecure</f>
        <v>0.17399999999999999</v>
      </c>
      <c r="K15" s="65">
        <f>food_insecure</f>
        <v>0.17399999999999999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0.625</v>
      </c>
      <c r="I18" s="65">
        <f>frac_PW_health_facility</f>
        <v>0.625</v>
      </c>
      <c r="J18" s="65">
        <f>frac_PW_health_facility</f>
        <v>0.625</v>
      </c>
      <c r="K18" s="65">
        <f>frac_PW_health_facility</f>
        <v>0.625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0.27</v>
      </c>
      <c r="I19" s="65">
        <f>frac_malaria_risk</f>
        <v>0.27</v>
      </c>
      <c r="J19" s="65">
        <f>frac_malaria_risk</f>
        <v>0.27</v>
      </c>
      <c r="K19" s="65">
        <f>frac_malaria_risk</f>
        <v>0.27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0.35487047318536802</v>
      </c>
      <c r="M25" s="65">
        <f>(1-food_insecure)*(0.49)+food_insecure*(0.7)</f>
        <v>0.52654000000000001</v>
      </c>
      <c r="N25" s="65">
        <f>(1-food_insecure)*(0.49)+food_insecure*(0.7)</f>
        <v>0.52654000000000001</v>
      </c>
      <c r="O25" s="65">
        <f>(1-food_insecure)*(0.49)+food_insecure*(0.7)</f>
        <v>0.52654000000000001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0.15208734565087201</v>
      </c>
      <c r="M26" s="65">
        <f>(1-food_insecure)*(0.21)+food_insecure*(0.3)</f>
        <v>0.22566</v>
      </c>
      <c r="N26" s="65">
        <f>(1-food_insecure)*(0.21)+food_insecure*(0.3)</f>
        <v>0.22566</v>
      </c>
      <c r="O26" s="65">
        <f>(1-food_insecure)*(0.21)+food_insecure*(0.3)</f>
        <v>0.22566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0.16700897036376003</v>
      </c>
      <c r="M27" s="65">
        <f>(1-food_insecure)*(0.3)</f>
        <v>0.24780000000000002</v>
      </c>
      <c r="N27" s="65">
        <f>(1-food_insecure)*(0.3)</f>
        <v>0.24780000000000002</v>
      </c>
      <c r="O27" s="65">
        <f>(1-food_insecure)*(0.3)</f>
        <v>0.24780000000000002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0.27</v>
      </c>
      <c r="D34" s="65">
        <f t="shared" si="3"/>
        <v>0.27</v>
      </c>
      <c r="E34" s="65">
        <f t="shared" si="3"/>
        <v>0.27</v>
      </c>
      <c r="F34" s="65">
        <f t="shared" si="3"/>
        <v>0.27</v>
      </c>
      <c r="G34" s="65">
        <f t="shared" si="3"/>
        <v>0.27</v>
      </c>
      <c r="H34" s="65">
        <f t="shared" si="3"/>
        <v>0.27</v>
      </c>
      <c r="I34" s="65">
        <f t="shared" si="3"/>
        <v>0.27</v>
      </c>
      <c r="J34" s="65">
        <f t="shared" si="3"/>
        <v>0.27</v>
      </c>
      <c r="K34" s="65">
        <f t="shared" si="3"/>
        <v>0.27</v>
      </c>
      <c r="L34" s="65">
        <f t="shared" si="3"/>
        <v>0.27</v>
      </c>
      <c r="M34" s="65">
        <f t="shared" si="3"/>
        <v>0.27</v>
      </c>
      <c r="N34" s="65">
        <f t="shared" si="3"/>
        <v>0.27</v>
      </c>
      <c r="O34" s="65">
        <f t="shared" si="3"/>
        <v>0.27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H0nXpuJ046jbHv0/dzdf/zwaBM9/cseiI1BxR2lQT44lYMY//wHA8ESYEbkBg9QLevF8vVMITHN26wFHl3GVuA==" saltValue="+q6Z/f7Jk59nStACV65f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LPxkOvhzeXjEvQoLqwYo1yhxIrvrjtHayEDorKqlPG3bLNH5B6olwtxM+kC+CyLI1HbjdeEIs8DtK0f3PovHqQ==" saltValue="SZbMCpvZ78roFf6O1WZgJ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N8QT5gnbWCorj7kmzn4L1KSKFjzNzM+mt78o8zYYbIvYG8r9PzSNsuhgUhV00sYq8IlJdr0LEI0ibG4arYn5cQ==" saltValue="tGc1BP06fXLuASucyRagR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PdTK1PSSk4uUtzn9jRRFe4XfKY3J6dt4H1GMNjYeufj/FI0vr1CJP4fN5jHOhEKQ609mgyU8rVsPD/RUrQ5Z4A==" saltValue="gEK9OkcqVzStWH9TDka39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Eu+qGVRnJMuAetPxzr8S7pp27tdkT39XB4ZlousRWTOtYZiYc7UKvM4s9UieD1NBMLUz41/+MwlBlR0RAuaOHA==" saltValue="9kiM/mNnmfT6ub11pUaON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hSt/2/TwTVmx95ay3mrbOYL/KbUSRuqpc6eoOO3SS0KW1TDlLWkixxN0/q8+70UvKEpmCbKH2/QP1g26BDcdeA==" saltValue="hLmiJ7LZsu6xAkYrIeZf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73985.944199999984</v>
      </c>
      <c r="C2" s="53">
        <v>137000</v>
      </c>
      <c r="D2" s="53">
        <v>261000</v>
      </c>
      <c r="E2" s="53">
        <v>199000</v>
      </c>
      <c r="F2" s="53">
        <v>135000</v>
      </c>
      <c r="G2" s="14">
        <f t="shared" ref="G2:G11" si="0">C2+D2+E2+F2</f>
        <v>732000</v>
      </c>
      <c r="H2" s="14">
        <f t="shared" ref="H2:H11" si="1">(B2 + stillbirth*B2/(1000-stillbirth))/(1-abortion)</f>
        <v>78712.945570464362</v>
      </c>
      <c r="I2" s="14">
        <f t="shared" ref="I2:I11" si="2">G2-H2</f>
        <v>653287.05442953564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74264.718399999998</v>
      </c>
      <c r="C3" s="53">
        <v>138000</v>
      </c>
      <c r="D3" s="53">
        <v>263000</v>
      </c>
      <c r="E3" s="53">
        <v>206000</v>
      </c>
      <c r="F3" s="53">
        <v>139000</v>
      </c>
      <c r="G3" s="14">
        <f t="shared" si="0"/>
        <v>746000</v>
      </c>
      <c r="H3" s="14">
        <f t="shared" si="1"/>
        <v>79009.530802542125</v>
      </c>
      <c r="I3" s="14">
        <f t="shared" si="2"/>
        <v>666990.46919745789</v>
      </c>
    </row>
    <row r="4" spans="1:9" ht="15.75" customHeight="1" x14ac:dyDescent="0.2">
      <c r="A4" s="7">
        <f t="shared" si="3"/>
        <v>2023</v>
      </c>
      <c r="B4" s="52">
        <v>74496.434599999979</v>
      </c>
      <c r="C4" s="53">
        <v>139000</v>
      </c>
      <c r="D4" s="53">
        <v>264000</v>
      </c>
      <c r="E4" s="53">
        <v>214000</v>
      </c>
      <c r="F4" s="53">
        <v>143000</v>
      </c>
      <c r="G4" s="14">
        <f t="shared" si="0"/>
        <v>760000</v>
      </c>
      <c r="H4" s="14">
        <f t="shared" si="1"/>
        <v>79256.05147394276</v>
      </c>
      <c r="I4" s="14">
        <f t="shared" si="2"/>
        <v>680743.94852605718</v>
      </c>
    </row>
    <row r="5" spans="1:9" ht="15.75" customHeight="1" x14ac:dyDescent="0.2">
      <c r="A5" s="7">
        <f t="shared" si="3"/>
        <v>2024</v>
      </c>
      <c r="B5" s="52">
        <v>74655.481999999989</v>
      </c>
      <c r="C5" s="53">
        <v>141000</v>
      </c>
      <c r="D5" s="53">
        <v>265000</v>
      </c>
      <c r="E5" s="53">
        <v>221000</v>
      </c>
      <c r="F5" s="53">
        <v>147000</v>
      </c>
      <c r="G5" s="14">
        <f t="shared" si="0"/>
        <v>774000</v>
      </c>
      <c r="H5" s="14">
        <f t="shared" si="1"/>
        <v>79425.26049701724</v>
      </c>
      <c r="I5" s="14">
        <f t="shared" si="2"/>
        <v>694574.7395029827</v>
      </c>
    </row>
    <row r="6" spans="1:9" ht="15.75" customHeight="1" x14ac:dyDescent="0.2">
      <c r="A6" s="7">
        <f t="shared" si="3"/>
        <v>2025</v>
      </c>
      <c r="B6" s="52">
        <v>74793.509999999995</v>
      </c>
      <c r="C6" s="53">
        <v>144000</v>
      </c>
      <c r="D6" s="53">
        <v>266000</v>
      </c>
      <c r="E6" s="53">
        <v>228000</v>
      </c>
      <c r="F6" s="53">
        <v>152000</v>
      </c>
      <c r="G6" s="14">
        <f t="shared" si="0"/>
        <v>790000</v>
      </c>
      <c r="H6" s="14">
        <f t="shared" si="1"/>
        <v>79572.107179433457</v>
      </c>
      <c r="I6" s="14">
        <f t="shared" si="2"/>
        <v>710427.89282056654</v>
      </c>
    </row>
    <row r="7" spans="1:9" ht="15.75" customHeight="1" x14ac:dyDescent="0.2">
      <c r="A7" s="7">
        <f t="shared" si="3"/>
        <v>2026</v>
      </c>
      <c r="B7" s="52">
        <v>75049.039999999994</v>
      </c>
      <c r="C7" s="53">
        <v>148000</v>
      </c>
      <c r="D7" s="53">
        <v>268000</v>
      </c>
      <c r="E7" s="53">
        <v>233000</v>
      </c>
      <c r="F7" s="53">
        <v>157000</v>
      </c>
      <c r="G7" s="14">
        <f t="shared" si="0"/>
        <v>806000</v>
      </c>
      <c r="H7" s="14">
        <f t="shared" si="1"/>
        <v>79843.963127196301</v>
      </c>
      <c r="I7" s="14">
        <f t="shared" si="2"/>
        <v>726156.0368728037</v>
      </c>
    </row>
    <row r="8" spans="1:9" ht="15.75" customHeight="1" x14ac:dyDescent="0.2">
      <c r="A8" s="7">
        <f t="shared" si="3"/>
        <v>2027</v>
      </c>
      <c r="B8" s="52">
        <v>75263.495999999999</v>
      </c>
      <c r="C8" s="53">
        <v>152000</v>
      </c>
      <c r="D8" s="53">
        <v>269000</v>
      </c>
      <c r="E8" s="53">
        <v>238000</v>
      </c>
      <c r="F8" s="53">
        <v>162000</v>
      </c>
      <c r="G8" s="14">
        <f t="shared" si="0"/>
        <v>821000</v>
      </c>
      <c r="H8" s="14">
        <f t="shared" si="1"/>
        <v>80072.120835228357</v>
      </c>
      <c r="I8" s="14">
        <f t="shared" si="2"/>
        <v>740927.87916477164</v>
      </c>
    </row>
    <row r="9" spans="1:9" ht="15.75" customHeight="1" x14ac:dyDescent="0.2">
      <c r="A9" s="7">
        <f t="shared" si="3"/>
        <v>2028</v>
      </c>
      <c r="B9" s="52">
        <v>75436.877999999997</v>
      </c>
      <c r="C9" s="53">
        <v>157000</v>
      </c>
      <c r="D9" s="53">
        <v>270000</v>
      </c>
      <c r="E9" s="53">
        <v>243000</v>
      </c>
      <c r="F9" s="53">
        <v>168000</v>
      </c>
      <c r="G9" s="14">
        <f t="shared" si="0"/>
        <v>838000</v>
      </c>
      <c r="H9" s="14">
        <f t="shared" si="1"/>
        <v>80256.580303529612</v>
      </c>
      <c r="I9" s="14">
        <f t="shared" si="2"/>
        <v>757743.41969647037</v>
      </c>
    </row>
    <row r="10" spans="1:9" ht="15.75" customHeight="1" x14ac:dyDescent="0.2">
      <c r="A10" s="7">
        <f t="shared" si="3"/>
        <v>2029</v>
      </c>
      <c r="B10" s="52">
        <v>75592.87539999999</v>
      </c>
      <c r="C10" s="53">
        <v>161000</v>
      </c>
      <c r="D10" s="53">
        <v>273000</v>
      </c>
      <c r="E10" s="53">
        <v>247000</v>
      </c>
      <c r="F10" s="53">
        <v>174000</v>
      </c>
      <c r="G10" s="14">
        <f t="shared" si="0"/>
        <v>855000</v>
      </c>
      <c r="H10" s="14">
        <f t="shared" si="1"/>
        <v>80422.544460480029</v>
      </c>
      <c r="I10" s="14">
        <f t="shared" si="2"/>
        <v>774577.45553952002</v>
      </c>
    </row>
    <row r="11" spans="1:9" ht="15.75" customHeight="1" x14ac:dyDescent="0.2">
      <c r="A11" s="7">
        <f t="shared" si="3"/>
        <v>2030</v>
      </c>
      <c r="B11" s="52">
        <v>75683.736000000004</v>
      </c>
      <c r="C11" s="53">
        <v>165000</v>
      </c>
      <c r="D11" s="53">
        <v>277000</v>
      </c>
      <c r="E11" s="53">
        <v>250000</v>
      </c>
      <c r="F11" s="53">
        <v>180000</v>
      </c>
      <c r="G11" s="14">
        <f t="shared" si="0"/>
        <v>872000</v>
      </c>
      <c r="H11" s="14">
        <f t="shared" si="1"/>
        <v>80519.210192594881</v>
      </c>
      <c r="I11" s="14">
        <f t="shared" si="2"/>
        <v>791480.78980740509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VlEosHSPhXT71IfBZ8JOflLGpkOpN7BC3kn1zq5+SqLWAeqY2CyyJwPAnG98qb5/jTlccHUgfJj18twK9nSeA==" saltValue="dfYC4WpgLY73Lz2UqNUH+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Qkmvs/3k7ISTnAfLCmG/tDrUJMeSFnKx5NCUtZDWvRSUeld/Y+jMlK/TZiukK16t7bFqUGUjBJG7JHpK6HXubw==" saltValue="bIpNzewNVZHw0gtJC6zaT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iJDJ7yRAi0RVrdSitAr/XNMhe0smAz+dO3G7Lc+bZI2SHQe+x6bZ+FUbWu0zhtv8arOXl0zj9NkaPkn1+hnKfA==" saltValue="1ukgbtx4sWlqstUG4+DZ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5aijuwOZ0q9lXfPpVkXl/c+g5mqkbeYt4WVpqjGEt5puu9kz9hHARpvJrKhn9AKiwtpqmrdrGR0PYcYqV44Gvw==" saltValue="t7RcKiP8FVbGNT6j9vt/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yIwbGWKHnIU8EzzP6/x4/IQzFijhgptDJ1tJKgkFTgoLAyosLbUIndLMo+IHZdJGXFAfwXCvWwVRMKgmEVuPYA==" saltValue="lJ+3Huls+Bl1kEOYRY7N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YxmQz0en582tUH6ihN2zSUItrd245VaxdYMdybX9Otf8n+duSnfd3WVqys8/B6DgPCS8pFsW4sei1dBI+4abqg==" saltValue="+Xt/vquwSqG1uQh8ZB4H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VWegZcHwGuL9p92Wwl7SD9GFFrOhHo35zvbcunacLnfpYTWSaYuR/4i6tPOtuitfbJU5n4abZ+0Nqcp4eZJS3Q==" saltValue="qWnj+0z/sm6LjNFbz+ce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UDkva6FSXlfIhOGHhBGJqV43zjczidSSyMmdXMVp92ZQiPKC3Ca5hpdu39mfyVMWdFUGUxMMbjGoFutTg66BHQ==" saltValue="jbGeEI40M5FKZkWZcaX+Z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HJ3B0pONvW4Vny3G7/XofgAeKBPqFzjZYghNCaY81FFh12NGeWdh1yLasbiG71kcuN02DO3t/oP4+VpF/uEnYQ==" saltValue="WcQ7dEAZEnRkAZStGXgF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ZwNzoRwSAFMIVsk2OErZwlbKs19xTj3h8XrVdRVOul7xvookjAmOq2sAVPIpQ4T5qb1lRJ606oStzYjNRdN2Ng==" saltValue="1VppW4i+eVSUwvMP47vRJ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4.9114822089921613E-3</v>
      </c>
    </row>
    <row r="4" spans="1:8" ht="15.75" customHeight="1" x14ac:dyDescent="0.2">
      <c r="B4" s="16" t="s">
        <v>79</v>
      </c>
      <c r="C4" s="54">
        <v>0.1396185220524494</v>
      </c>
    </row>
    <row r="5" spans="1:8" ht="15.75" customHeight="1" x14ac:dyDescent="0.2">
      <c r="B5" s="16" t="s">
        <v>80</v>
      </c>
      <c r="C5" s="54">
        <v>6.1889292956395343E-2</v>
      </c>
    </row>
    <row r="6" spans="1:8" ht="15.75" customHeight="1" x14ac:dyDescent="0.2">
      <c r="B6" s="16" t="s">
        <v>81</v>
      </c>
      <c r="C6" s="54">
        <v>0.24256384096132491</v>
      </c>
    </row>
    <row r="7" spans="1:8" ht="15.75" customHeight="1" x14ac:dyDescent="0.2">
      <c r="B7" s="16" t="s">
        <v>82</v>
      </c>
      <c r="C7" s="54">
        <v>0.35790479712158513</v>
      </c>
    </row>
    <row r="8" spans="1:8" ht="15.75" customHeight="1" x14ac:dyDescent="0.2">
      <c r="B8" s="16" t="s">
        <v>83</v>
      </c>
      <c r="C8" s="54">
        <v>3.9720166534191878E-3</v>
      </c>
    </row>
    <row r="9" spans="1:8" ht="15.75" customHeight="1" x14ac:dyDescent="0.2">
      <c r="B9" s="16" t="s">
        <v>84</v>
      </c>
      <c r="C9" s="54">
        <v>0.1260744321826491</v>
      </c>
    </row>
    <row r="10" spans="1:8" ht="15.75" customHeight="1" x14ac:dyDescent="0.2">
      <c r="B10" s="16" t="s">
        <v>85</v>
      </c>
      <c r="C10" s="54">
        <v>6.3065615863184737E-2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0.10879877322878929</v>
      </c>
      <c r="D14" s="54">
        <v>0.10879877322878929</v>
      </c>
      <c r="E14" s="54">
        <v>0.10879877322878929</v>
      </c>
      <c r="F14" s="54">
        <v>0.10879877322878929</v>
      </c>
    </row>
    <row r="15" spans="1:8" ht="15.75" customHeight="1" x14ac:dyDescent="0.2">
      <c r="B15" s="16" t="s">
        <v>88</v>
      </c>
      <c r="C15" s="54">
        <v>0.18701498483590831</v>
      </c>
      <c r="D15" s="54">
        <v>0.18701498483590831</v>
      </c>
      <c r="E15" s="54">
        <v>0.18701498483590831</v>
      </c>
      <c r="F15" s="54">
        <v>0.18701498483590831</v>
      </c>
    </row>
    <row r="16" spans="1:8" ht="15.75" customHeight="1" x14ac:dyDescent="0.2">
      <c r="B16" s="16" t="s">
        <v>89</v>
      </c>
      <c r="C16" s="54">
        <v>1.435208057789125E-2</v>
      </c>
      <c r="D16" s="54">
        <v>1.435208057789125E-2</v>
      </c>
      <c r="E16" s="54">
        <v>1.435208057789125E-2</v>
      </c>
      <c r="F16" s="54">
        <v>1.435208057789125E-2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2.8426653368167781E-2</v>
      </c>
      <c r="D19" s="54">
        <v>2.8426653368167781E-2</v>
      </c>
      <c r="E19" s="54">
        <v>2.8426653368167781E-2</v>
      </c>
      <c r="F19" s="54">
        <v>2.8426653368167781E-2</v>
      </c>
    </row>
    <row r="20" spans="1:8" ht="15.75" customHeight="1" x14ac:dyDescent="0.2">
      <c r="B20" s="16" t="s">
        <v>93</v>
      </c>
      <c r="C20" s="54">
        <v>0.23956618249561179</v>
      </c>
      <c r="D20" s="54">
        <v>0.23956618249561179</v>
      </c>
      <c r="E20" s="54">
        <v>0.23956618249561179</v>
      </c>
      <c r="F20" s="54">
        <v>0.23956618249561179</v>
      </c>
    </row>
    <row r="21" spans="1:8" ht="15.75" customHeight="1" x14ac:dyDescent="0.2">
      <c r="B21" s="16" t="s">
        <v>94</v>
      </c>
      <c r="C21" s="54">
        <v>0.1089453081312772</v>
      </c>
      <c r="D21" s="54">
        <v>0.1089453081312772</v>
      </c>
      <c r="E21" s="54">
        <v>0.1089453081312772</v>
      </c>
      <c r="F21" s="54">
        <v>0.1089453081312772</v>
      </c>
    </row>
    <row r="22" spans="1:8" ht="15.75" customHeight="1" x14ac:dyDescent="0.2">
      <c r="B22" s="16" t="s">
        <v>95</v>
      </c>
      <c r="C22" s="54">
        <v>0.31289601736235428</v>
      </c>
      <c r="D22" s="54">
        <v>0.31289601736235428</v>
      </c>
      <c r="E22" s="54">
        <v>0.31289601736235428</v>
      </c>
      <c r="F22" s="54">
        <v>0.31289601736235428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7.690000000000001E-2</v>
      </c>
    </row>
    <row r="27" spans="1:8" ht="15.75" customHeight="1" x14ac:dyDescent="0.2">
      <c r="B27" s="16" t="s">
        <v>102</v>
      </c>
      <c r="C27" s="54">
        <v>7.6E-3</v>
      </c>
    </row>
    <row r="28" spans="1:8" ht="15.75" customHeight="1" x14ac:dyDescent="0.2">
      <c r="B28" s="16" t="s">
        <v>103</v>
      </c>
      <c r="C28" s="54">
        <v>0.13339999999999999</v>
      </c>
    </row>
    <row r="29" spans="1:8" ht="15.75" customHeight="1" x14ac:dyDescent="0.2">
      <c r="B29" s="16" t="s">
        <v>104</v>
      </c>
      <c r="C29" s="54">
        <v>0.1464</v>
      </c>
    </row>
    <row r="30" spans="1:8" ht="15.75" customHeight="1" x14ac:dyDescent="0.2">
      <c r="B30" s="16" t="s">
        <v>2</v>
      </c>
      <c r="C30" s="54">
        <v>9.1799999999999993E-2</v>
      </c>
    </row>
    <row r="31" spans="1:8" ht="15.75" customHeight="1" x14ac:dyDescent="0.2">
      <c r="B31" s="16" t="s">
        <v>105</v>
      </c>
      <c r="C31" s="54">
        <v>9.6500000000000002E-2</v>
      </c>
    </row>
    <row r="32" spans="1:8" ht="15.75" customHeight="1" x14ac:dyDescent="0.2">
      <c r="B32" s="16" t="s">
        <v>106</v>
      </c>
      <c r="C32" s="54">
        <v>1.6299999999999999E-2</v>
      </c>
    </row>
    <row r="33" spans="2:3" ht="15.75" customHeight="1" x14ac:dyDescent="0.2">
      <c r="B33" s="16" t="s">
        <v>107</v>
      </c>
      <c r="C33" s="54">
        <v>7.2099999999999997E-2</v>
      </c>
    </row>
    <row r="34" spans="2:3" ht="15.75" customHeight="1" x14ac:dyDescent="0.2">
      <c r="B34" s="16" t="s">
        <v>108</v>
      </c>
      <c r="C34" s="54">
        <v>0.35899999999999999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DA6TUVP81WHoZBVPg3EBKqA8UsY3PZV84lMEOBBujM3547F4r1FcTOciCDl0YPShYphgnJBRJRZ655rzY4rKDw==" saltValue="lEQbroGckQ+k8d2Zu7Ec6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0.72998744249343905</v>
      </c>
      <c r="D2" s="55">
        <v>0.72998744249343905</v>
      </c>
      <c r="E2" s="55">
        <v>0.75295507907867398</v>
      </c>
      <c r="F2" s="55">
        <v>0.50342017412185702</v>
      </c>
      <c r="G2" s="55">
        <v>0.40722894668579102</v>
      </c>
    </row>
    <row r="3" spans="1:15" ht="15.75" customHeight="1" x14ac:dyDescent="0.2">
      <c r="B3" s="7" t="s">
        <v>113</v>
      </c>
      <c r="C3" s="55">
        <v>0.158882796764374</v>
      </c>
      <c r="D3" s="55">
        <v>0.158882796764374</v>
      </c>
      <c r="E3" s="55">
        <v>0.168711632490158</v>
      </c>
      <c r="F3" s="55">
        <v>0.25276845693588301</v>
      </c>
      <c r="G3" s="55">
        <v>0.32725819945335399</v>
      </c>
    </row>
    <row r="4" spans="1:15" ht="15.75" customHeight="1" x14ac:dyDescent="0.2">
      <c r="B4" s="7" t="s">
        <v>114</v>
      </c>
      <c r="C4" s="56">
        <v>6.3812069594860105E-2</v>
      </c>
      <c r="D4" s="56">
        <v>6.3812069594860105E-2</v>
      </c>
      <c r="E4" s="56">
        <v>5.8292113244533497E-2</v>
      </c>
      <c r="F4" s="56">
        <v>0.157007306814194</v>
      </c>
      <c r="G4" s="56">
        <v>0.17223168909549699</v>
      </c>
    </row>
    <row r="5" spans="1:15" ht="15.75" customHeight="1" x14ac:dyDescent="0.2">
      <c r="B5" s="7" t="s">
        <v>115</v>
      </c>
      <c r="C5" s="56">
        <v>4.7317713499069193E-2</v>
      </c>
      <c r="D5" s="56">
        <v>4.7317713499069193E-2</v>
      </c>
      <c r="E5" s="56">
        <v>2.0041206851601601E-2</v>
      </c>
      <c r="F5" s="56">
        <v>8.68040695786476E-2</v>
      </c>
      <c r="G5" s="56">
        <v>9.3281179666519207E-2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0.66704213619232211</v>
      </c>
      <c r="D8" s="55">
        <v>0.66704213619232211</v>
      </c>
      <c r="E8" s="55">
        <v>0.62381440401077304</v>
      </c>
      <c r="F8" s="55">
        <v>0.75235748291015592</v>
      </c>
      <c r="G8" s="55">
        <v>0.77780455350875899</v>
      </c>
    </row>
    <row r="9" spans="1:15" ht="15.75" customHeight="1" x14ac:dyDescent="0.2">
      <c r="B9" s="7" t="s">
        <v>118</v>
      </c>
      <c r="C9" s="55">
        <v>0.20972405374050099</v>
      </c>
      <c r="D9" s="55">
        <v>0.20972405374050099</v>
      </c>
      <c r="E9" s="55">
        <v>0.21512553095817599</v>
      </c>
      <c r="F9" s="55">
        <v>0.15918678045272799</v>
      </c>
      <c r="G9" s="55">
        <v>0.179999023675919</v>
      </c>
    </row>
    <row r="10" spans="1:15" ht="15.75" customHeight="1" x14ac:dyDescent="0.2">
      <c r="B10" s="7" t="s">
        <v>119</v>
      </c>
      <c r="C10" s="56">
        <v>4.8994045704603202E-2</v>
      </c>
      <c r="D10" s="56">
        <v>4.8994045704603202E-2</v>
      </c>
      <c r="E10" s="56">
        <v>0.101028084754944</v>
      </c>
      <c r="F10" s="56">
        <v>4.4761858880519902E-2</v>
      </c>
      <c r="G10" s="56">
        <v>3.2328601926565198E-2</v>
      </c>
    </row>
    <row r="11" spans="1:15" ht="15.75" customHeight="1" x14ac:dyDescent="0.2">
      <c r="B11" s="7" t="s">
        <v>120</v>
      </c>
      <c r="C11" s="56">
        <v>7.4239753186702701E-2</v>
      </c>
      <c r="D11" s="56">
        <v>7.4239753186702701E-2</v>
      </c>
      <c r="E11" s="56">
        <v>6.0031954199075699E-2</v>
      </c>
      <c r="F11" s="56">
        <v>4.3693892657756798E-2</v>
      </c>
      <c r="G11" s="56">
        <v>9.8678097128867999E-3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0.66914178675000002</v>
      </c>
      <c r="D14" s="57">
        <v>0.63932800009000001</v>
      </c>
      <c r="E14" s="57">
        <v>0.63932800009000001</v>
      </c>
      <c r="F14" s="57">
        <v>0.49151955144800008</v>
      </c>
      <c r="G14" s="57">
        <v>0.49151955144800008</v>
      </c>
      <c r="H14" s="58">
        <v>0.83599999999999997</v>
      </c>
      <c r="I14" s="58">
        <v>0.23621256038647351</v>
      </c>
      <c r="J14" s="58">
        <v>0.21395169082125609</v>
      </c>
      <c r="K14" s="58">
        <v>0.26960386473429948</v>
      </c>
      <c r="L14" s="58">
        <v>0.22881044261700001</v>
      </c>
      <c r="M14" s="58">
        <v>0.13465038375749999</v>
      </c>
      <c r="N14" s="58">
        <v>0.18123013465400001</v>
      </c>
      <c r="O14" s="58">
        <v>0.2172766824025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0.29901067000069803</v>
      </c>
      <c r="D15" s="55">
        <f t="shared" si="0"/>
        <v>0.28568817168869959</v>
      </c>
      <c r="E15" s="55">
        <f t="shared" si="0"/>
        <v>0.28568817168869959</v>
      </c>
      <c r="F15" s="55">
        <f t="shared" si="0"/>
        <v>0.21963893648121366</v>
      </c>
      <c r="G15" s="55">
        <f t="shared" si="0"/>
        <v>0.21963893648121366</v>
      </c>
      <c r="H15" s="55">
        <f t="shared" si="0"/>
        <v>0.37357242526235568</v>
      </c>
      <c r="I15" s="55">
        <f t="shared" si="0"/>
        <v>0.10555322854187267</v>
      </c>
      <c r="J15" s="55">
        <f t="shared" si="0"/>
        <v>9.5605803862533881E-2</v>
      </c>
      <c r="K15" s="55">
        <f t="shared" si="0"/>
        <v>0.1204743655608808</v>
      </c>
      <c r="L15" s="55">
        <f t="shared" si="0"/>
        <v>0.10224554063849972</v>
      </c>
      <c r="M15" s="55">
        <f t="shared" si="0"/>
        <v>6.0169462228225098E-2</v>
      </c>
      <c r="N15" s="55">
        <f t="shared" si="0"/>
        <v>8.0983948484830232E-2</v>
      </c>
      <c r="O15" s="55">
        <f t="shared" si="0"/>
        <v>9.7091599519211161E-2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g8ihdPoqAjxHwYShLwFik2eCTmq5GDWplK6DFL4ZuliUEPNKCCRmMZRrWcKWDlhxoDd9+vjjJzylR3c+mt9b7g==" saltValue="88Y35EHhA52atcu4U0+N6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0.7200763821601871</v>
      </c>
      <c r="D2" s="56">
        <v>0.45918130000000001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0.14221075177192699</v>
      </c>
      <c r="D3" s="56">
        <v>0.20233039999999999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0.11423513293266301</v>
      </c>
      <c r="D4" s="56">
        <v>0.2529962</v>
      </c>
      <c r="E4" s="56">
        <v>0.77814704179763794</v>
      </c>
      <c r="F4" s="56">
        <v>0.46696874499321001</v>
      </c>
      <c r="G4" s="56">
        <v>0</v>
      </c>
    </row>
    <row r="5" spans="1:7" x14ac:dyDescent="0.2">
      <c r="B5" s="98" t="s">
        <v>132</v>
      </c>
      <c r="C5" s="55">
        <v>2.3477733135223E-2</v>
      </c>
      <c r="D5" s="55">
        <v>8.5492100000000001E-2</v>
      </c>
      <c r="E5" s="55">
        <v>0.22185295820236209</v>
      </c>
      <c r="F5" s="55">
        <v>0.53303125500679005</v>
      </c>
      <c r="G5" s="55">
        <v>1</v>
      </c>
    </row>
  </sheetData>
  <sheetProtection algorithmName="SHA-512" hashValue="brHW0lIln7vz4AYEoJyqvp2kTh56rM00VN28a17oqFzaGcPYLSg0n8gy56Ktx7GQdpFTh4Yp/rKCYLUsJyf/TQ==" saltValue="939MINHYORGp9LM6M7OE4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1L91suYZ2QbWCjx6qBJ3r6LbPFxQ7CQ2IBhTBMscaUKhEmanRL2P6fElbLnImPwLYDyCCPidN8jyX2DCWax1+w==" saltValue="DVBmGsXaoHRvpqyxxr+WY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LaEL2ILqi9PVasl0Pnmfz3VBeoIwLYVYZmAVKdTerDj462Y/DZu1HcURM0TmXHu6h6hwSlzAVM+Fzq/Aj03RKA==" saltValue="s1HJM1S+gwXY63HLre+k1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fXdFMVP7XJ9LH494fCcn8OPJSnt0CNKy/W1DlqLaU684L5KphRRrW5nar/p5jOegUjUuG7M6hWKv0sAweAO4hw==" saltValue="wYVp1EAB3c7zJMaHJFq79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N5u8uE70p1Y1MleRaXyF4u39dvk3BkstK3h3Kqg4PKo+bnRcKeebpzQKRxjcVh63yPbQx5or6HmV4WYUX7ae8Q==" saltValue="sxsFLdO15zmjw05oDbXW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2022-02-02T07:54:09Z</dcterms:modified>
</cp:coreProperties>
</file>