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9AA5FDB-23AF-4A93-87EC-682A4867D19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4" i="2"/>
  <c r="A33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38" i="2" l="1"/>
  <c r="I2" i="2"/>
  <c r="I6" i="2"/>
  <c r="I10" i="2"/>
  <c r="I3" i="2"/>
  <c r="I7" i="2"/>
  <c r="I11" i="2"/>
  <c r="I4" i="2"/>
  <c r="I8" i="2"/>
  <c r="A17" i="2"/>
  <c r="A18" i="2"/>
  <c r="A39" i="2"/>
  <c r="I5" i="2"/>
  <c r="I9" i="2"/>
  <c r="A25" i="2"/>
  <c r="A26" i="2"/>
  <c r="A19" i="2"/>
  <c r="A27" i="2"/>
  <c r="A35" i="2"/>
  <c r="A13" i="2"/>
  <c r="A37" i="2"/>
  <c r="A14" i="2"/>
  <c r="A22" i="2"/>
  <c r="A30" i="2"/>
  <c r="A38" i="2"/>
  <c r="A40" i="2"/>
  <c r="D58" i="20"/>
  <c r="A20" i="2"/>
  <c r="A28" i="2"/>
  <c r="A21" i="2"/>
  <c r="A15" i="2"/>
  <c r="A23" i="2"/>
  <c r="A31" i="2"/>
  <c r="A12" i="2"/>
  <c r="A36" i="2"/>
  <c r="A29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<sst xmlns="http://schemas.openxmlformats.org/spreadsheetml/2006/main" count="2092" uniqueCount="337">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</sst>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4900336.5625</v>
      </c>
    </row>
    <row r="8" spans="1:3" ht="15" customHeight="1" x14ac:dyDescent="0.2">
      <c r="B8" s="7" t="s">
        <v>19</v>
      </c>
      <c r="C8" s="46">
        <v>0.44500000000000001</v>
      </c>
    </row>
    <row r="9" spans="1:3" ht="15" customHeight="1" x14ac:dyDescent="0.2">
      <c r="B9" s="7" t="s">
        <v>20</v>
      </c>
      <c r="C9" s="47">
        <v>0.89</v>
      </c>
    </row>
    <row r="10" spans="1:3" ht="15" customHeight="1" x14ac:dyDescent="0.2">
      <c r="B10" s="7" t="s">
        <v>21</v>
      </c>
      <c r="C10" s="47">
        <v>0.17105390548706101</v>
      </c>
    </row>
    <row r="11" spans="1:3" ht="15" customHeight="1" x14ac:dyDescent="0.2">
      <c r="B11" s="7" t="s">
        <v>22</v>
      </c>
      <c r="C11" s="46">
        <v>0.38500000000000001</v>
      </c>
    </row>
    <row r="12" spans="1:3" ht="15" customHeight="1" x14ac:dyDescent="0.2">
      <c r="B12" s="7" t="s">
        <v>23</v>
      </c>
      <c r="C12" s="46">
        <v>0.59299999999999997</v>
      </c>
    </row>
    <row r="13" spans="1:3" ht="15" customHeight="1" x14ac:dyDescent="0.2">
      <c r="B13" s="7" t="s">
        <v>24</v>
      </c>
      <c r="C13" s="46">
        <v>0.54600000000000004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0.13469999999999999</v>
      </c>
    </row>
    <row r="24" spans="1:3" ht="15" customHeight="1" x14ac:dyDescent="0.2">
      <c r="B24" s="12" t="s">
        <v>33</v>
      </c>
      <c r="C24" s="47">
        <v>0.43480000000000002</v>
      </c>
    </row>
    <row r="25" spans="1:3" ht="15" customHeight="1" x14ac:dyDescent="0.2">
      <c r="B25" s="12" t="s">
        <v>34</v>
      </c>
      <c r="C25" s="47">
        <v>0.33339999999999997</v>
      </c>
    </row>
    <row r="26" spans="1:3" ht="15" customHeight="1" x14ac:dyDescent="0.2">
      <c r="B26" s="12" t="s">
        <v>35</v>
      </c>
      <c r="C26" s="47">
        <v>9.7100000000000006E-2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0.157</v>
      </c>
    </row>
    <row r="30" spans="1:3" ht="14.25" customHeight="1" x14ac:dyDescent="0.2">
      <c r="B30" s="22" t="s">
        <v>38</v>
      </c>
      <c r="C30" s="49">
        <v>4.9000000000000002E-2</v>
      </c>
    </row>
    <row r="31" spans="1:3" ht="14.25" customHeight="1" x14ac:dyDescent="0.2">
      <c r="B31" s="22" t="s">
        <v>39</v>
      </c>
      <c r="C31" s="49">
        <v>0.152</v>
      </c>
    </row>
    <row r="32" spans="1:3" ht="14.25" customHeight="1" x14ac:dyDescent="0.2">
      <c r="B32" s="22" t="s">
        <v>40</v>
      </c>
      <c r="C32" s="49">
        <v>0.64200000000000002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24.2568573220051</v>
      </c>
    </row>
    <row r="38" spans="1:5" ht="15" customHeight="1" x14ac:dyDescent="0.2">
      <c r="B38" s="28" t="s">
        <v>45</v>
      </c>
      <c r="C38" s="117">
        <v>46.721429212176403</v>
      </c>
      <c r="D38" s="9"/>
      <c r="E38" s="10"/>
    </row>
    <row r="39" spans="1:5" ht="15" customHeight="1" x14ac:dyDescent="0.2">
      <c r="B39" s="28" t="s">
        <v>46</v>
      </c>
      <c r="C39" s="117">
        <v>80.366102044678996</v>
      </c>
      <c r="D39" s="9"/>
      <c r="E39" s="9"/>
    </row>
    <row r="40" spans="1:5" ht="15" customHeight="1" x14ac:dyDescent="0.2">
      <c r="B40" s="28" t="s">
        <v>47</v>
      </c>
      <c r="C40" s="117">
        <v>509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19.550403790000001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1.5124200000000001E-2</v>
      </c>
      <c r="D45" s="9"/>
    </row>
    <row r="46" spans="1:5" ht="15.75" customHeight="1" x14ac:dyDescent="0.2">
      <c r="B46" s="28" t="s">
        <v>52</v>
      </c>
      <c r="C46" s="47">
        <v>7.9080070000000002E-2</v>
      </c>
      <c r="D46" s="9"/>
    </row>
    <row r="47" spans="1:5" ht="15.75" customHeight="1" x14ac:dyDescent="0.2">
      <c r="B47" s="28" t="s">
        <v>53</v>
      </c>
      <c r="C47" s="47">
        <v>0.36614970000000002</v>
      </c>
      <c r="D47" s="9"/>
      <c r="E47" s="10"/>
    </row>
    <row r="48" spans="1:5" ht="15" customHeight="1" x14ac:dyDescent="0.2">
      <c r="B48" s="28" t="s">
        <v>54</v>
      </c>
      <c r="C48" s="48">
        <v>0.53964603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0.42532672012857409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dp7itf7vNXpU5anztxS1CrvhiM25ZUZKh2xu1OCeTr046BKH4UiPMGTh65x1H939hTN55EwXJIHFhR3lbt2aHA==" saltValue="sc9ABdE0jZxxlOYGhwgj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7.9809195863914495E-2</v>
      </c>
      <c r="C2" s="115">
        <v>0.95</v>
      </c>
      <c r="D2" s="116">
        <v>33.919644824858139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47.342783690201649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36.416546183419882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6.6341516568287878E-2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15.002033020696739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15.002033020696739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15.002033020696739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15.002033020696739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15.002033020696739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15.002033020696739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0.34829690000000002</v>
      </c>
      <c r="C16" s="115">
        <v>0.95</v>
      </c>
      <c r="D16" s="116">
        <v>0.20461341533285801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3.0533333333333301E-2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8.4534800000000007E-2</v>
      </c>
      <c r="C18" s="115">
        <v>0.95</v>
      </c>
      <c r="D18" s="116">
        <v>0.95329805118397926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8.4534800000000007E-2</v>
      </c>
      <c r="C19" s="115">
        <v>0.95</v>
      </c>
      <c r="D19" s="116">
        <v>0.95329805118397926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0.29753570000000001</v>
      </c>
      <c r="C21" s="115">
        <v>0.95</v>
      </c>
      <c r="D21" s="116">
        <v>0.74930659609920203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25.542261036937091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4.9019061388624658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0.22265194477757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0.285819321870804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21.704422310390239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0.102531895041466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9.9000000000000005E-2</v>
      </c>
      <c r="C29" s="115">
        <v>0.95</v>
      </c>
      <c r="D29" s="116">
        <v>58.621108559880248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1.146450432690806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0.37139348897646668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0.19396083829999999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0.61492550000000001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0.32501895652705698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8.9778551443986707E-2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4.867218577273106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0.13566659687881699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uB0ZFjYHvrhnvllH01VScwhLMeO9UsUFBji8cYuFn9E1SCNGWGqcmaBgqjQLliCGggM31zUXCpbxOxMQiMd8Q==" saltValue="gHDTNpMv/Znytu7/pnmN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DfUxYn9bx24ylKJNl88L53krdZEPZVQR7cYTmHldy7ooI9MeKnz6IYrTmvP0gWMrjetNY+BcHORwlgLDguzh5A==" saltValue="je9OG0gh3xfVpwg5bnTg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vkX9bY40XquXsKrDKzrlMz/iqBOrd3QGe0qIROtnCfBJZZQxQhfJLslq0LCczPWEPOMkJUwBIl1EjjVqyi+d2w==" saltValue="sEKCAUAAVwlAgwS5RGAK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0.31744611859321659</v>
      </c>
      <c r="C3" s="18">
        <f>frac_mam_1_5months * 2.6</f>
        <v>0.31744611859321659</v>
      </c>
      <c r="D3" s="18">
        <f>frac_mam_6_11months * 2.6</f>
        <v>0.44050072729587597</v>
      </c>
      <c r="E3" s="18">
        <f>frac_mam_12_23months * 2.6</f>
        <v>0.46110786795616143</v>
      </c>
      <c r="F3" s="18">
        <f>frac_mam_24_59months * 2.6</f>
        <v>0.22829494476318349</v>
      </c>
    </row>
    <row r="4" spans="1:6" ht="15.75" customHeight="1" x14ac:dyDescent="0.2">
      <c r="A4" s="4" t="s">
        <v>208</v>
      </c>
      <c r="B4" s="18">
        <f>frac_sam_1month * 2.6</f>
        <v>0.20145560204982757</v>
      </c>
      <c r="C4" s="18">
        <f>frac_sam_1_5months * 2.6</f>
        <v>0.20145560204982757</v>
      </c>
      <c r="D4" s="18">
        <f>frac_sam_6_11months * 2.6</f>
        <v>0.35223998427391023</v>
      </c>
      <c r="E4" s="18">
        <f>frac_sam_12_23months * 2.6</f>
        <v>0.2188866287469865</v>
      </c>
      <c r="F4" s="18">
        <f>frac_sam_24_59months * 2.6</f>
        <v>0.12753520011901864</v>
      </c>
    </row>
  </sheetData>
  <sheetProtection algorithmName="SHA-512" hashValue="NpcuCu6rJzNLgGmzjipe/TmndwzqjXxShDRIAv6IPM2xfKfkniY56MiAmbB1y3xdLSHKhmeOv1OrAc9MObDq7g==" saltValue="xv53nrWAnNzvz1WT3KCw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0.44500000000000001</v>
      </c>
      <c r="E2" s="65">
        <f>food_insecure</f>
        <v>0.44500000000000001</v>
      </c>
      <c r="F2" s="65">
        <f>food_insecure</f>
        <v>0.44500000000000001</v>
      </c>
      <c r="G2" s="65">
        <f>food_insecure</f>
        <v>0.44500000000000001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0.44500000000000001</v>
      </c>
      <c r="F5" s="65">
        <f>food_insecure</f>
        <v>0.44500000000000001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0.44500000000000001</v>
      </c>
      <c r="F8" s="65">
        <f>food_insecure</f>
        <v>0.44500000000000001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0.44500000000000001</v>
      </c>
      <c r="F9" s="65">
        <f>food_insecure</f>
        <v>0.44500000000000001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0.59299999999999997</v>
      </c>
      <c r="E10" s="65">
        <f>IF(ISBLANK(comm_deliv), frac_children_health_facility,1)</f>
        <v>0.59299999999999997</v>
      </c>
      <c r="F10" s="65">
        <f>IF(ISBLANK(comm_deliv), frac_children_health_facility,1)</f>
        <v>0.59299999999999997</v>
      </c>
      <c r="G10" s="65">
        <f>IF(ISBLANK(comm_deliv), frac_children_health_facility,1)</f>
        <v>0.59299999999999997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0.44500000000000001</v>
      </c>
      <c r="I15" s="65">
        <f>food_insecure</f>
        <v>0.44500000000000001</v>
      </c>
      <c r="J15" s="65">
        <f>food_insecure</f>
        <v>0.44500000000000001</v>
      </c>
      <c r="K15" s="65">
        <f>food_insecure</f>
        <v>0.44500000000000001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0.38500000000000001</v>
      </c>
      <c r="I18" s="65">
        <f>frac_PW_health_facility</f>
        <v>0.38500000000000001</v>
      </c>
      <c r="J18" s="65">
        <f>frac_PW_health_facility</f>
        <v>0.38500000000000001</v>
      </c>
      <c r="K18" s="65">
        <f>frac_PW_health_facility</f>
        <v>0.38500000000000001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0.89</v>
      </c>
      <c r="I19" s="65">
        <f>frac_malaria_risk</f>
        <v>0.89</v>
      </c>
      <c r="J19" s="65">
        <f>frac_malaria_risk</f>
        <v>0.89</v>
      </c>
      <c r="K19" s="65">
        <f>frac_malaria_risk</f>
        <v>0.89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0.54600000000000004</v>
      </c>
      <c r="M24" s="65">
        <f>famplan_unmet_need</f>
        <v>0.54600000000000004</v>
      </c>
      <c r="N24" s="65">
        <f>famplan_unmet_need</f>
        <v>0.54600000000000004</v>
      </c>
      <c r="O24" s="65">
        <f>famplan_unmet_need</f>
        <v>0.54600000000000004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0.48364859884357425</v>
      </c>
      <c r="M25" s="65">
        <f>(1-food_insecure)*(0.49)+food_insecure*(0.7)</f>
        <v>0.58345000000000002</v>
      </c>
      <c r="N25" s="65">
        <f>(1-food_insecure)*(0.49)+food_insecure*(0.7)</f>
        <v>0.58345000000000002</v>
      </c>
      <c r="O25" s="65">
        <f>(1-food_insecure)*(0.49)+food_insecure*(0.7)</f>
        <v>0.58345000000000002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0.20727797093296041</v>
      </c>
      <c r="M26" s="65">
        <f>(1-food_insecure)*(0.21)+food_insecure*(0.3)</f>
        <v>0.25004999999999999</v>
      </c>
      <c r="N26" s="65">
        <f>(1-food_insecure)*(0.21)+food_insecure*(0.3)</f>
        <v>0.25004999999999999</v>
      </c>
      <c r="O26" s="65">
        <f>(1-food_insecure)*(0.21)+food_insecure*(0.3)</f>
        <v>0.25004999999999999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0.13801952473640433</v>
      </c>
      <c r="M27" s="65">
        <f>(1-food_insecure)*(0.3)</f>
        <v>0.16649999999999998</v>
      </c>
      <c r="N27" s="65">
        <f>(1-food_insecure)*(0.3)</f>
        <v>0.16649999999999998</v>
      </c>
      <c r="O27" s="65">
        <f>(1-food_insecure)*(0.3)</f>
        <v>0.16649999999999998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0.17105390548706101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0.89</v>
      </c>
      <c r="D34" s="65">
        <f t="shared" si="3"/>
        <v>0.89</v>
      </c>
      <c r="E34" s="65">
        <f t="shared" si="3"/>
        <v>0.89</v>
      </c>
      <c r="F34" s="65">
        <f t="shared" si="3"/>
        <v>0.89</v>
      </c>
      <c r="G34" s="65">
        <f t="shared" si="3"/>
        <v>0.89</v>
      </c>
      <c r="H34" s="65">
        <f t="shared" si="3"/>
        <v>0.89</v>
      </c>
      <c r="I34" s="65">
        <f t="shared" si="3"/>
        <v>0.89</v>
      </c>
      <c r="J34" s="65">
        <f t="shared" si="3"/>
        <v>0.89</v>
      </c>
      <c r="K34" s="65">
        <f t="shared" si="3"/>
        <v>0.89</v>
      </c>
      <c r="L34" s="65">
        <f t="shared" si="3"/>
        <v>0.89</v>
      </c>
      <c r="M34" s="65">
        <f t="shared" si="3"/>
        <v>0.89</v>
      </c>
      <c r="N34" s="65">
        <f t="shared" si="3"/>
        <v>0.89</v>
      </c>
      <c r="O34" s="65">
        <f t="shared" si="3"/>
        <v>0.89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ba35ibTVc+exuuELO9pvCIybAQcPi/Nbvutk8wMztj05E9lTG1nxfbZQYfuirk09DDHTv5XSfHN9VPsHiylEcw==" saltValue="OhWYBfjkssm/TL9dl6AG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DIZlh+73kYcP3kClJpvgEzZ7RxnngXcjapNMJyBLBELem9soVqBfSVcWyBdldVKTXhwwwpFCDkR7jQJeEWmiOg==" saltValue="FsWdwQEkfy5eo7V6xEsE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/+FnYYNtZUzwMPA3lUtRzRRG34H884hCcs0pVtgIiLzIB2lmHS6VOUjfnW8qnCdONjmWJyJLFtbQ4avMZ/r3Q==" saltValue="vZpYPoUOxdxY1DnRx+RS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rVh7B+L2QExtKJNHE62503j7B9l6fKNWmq9OGt4cdbVeZgGv73CiGImXxSwyBEHhWdNlZ8vLuNafjMydNj75qQ==" saltValue="YfqbbnpLQm2eNfJxrr4Mn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1mbqxoC3ySwDE/Yk1FrUTBXAjsQ5L1vBE9ZNL5A4TxWm2YUlj6oOzw3wDvKHoSiN9jph1TwrI6rqIRc49YL5CA==" saltValue="PWNR1k7nCRTpF2nNy4kGc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Obt5bQplmgiARVvA0dOPEH694UbdxT5D5AxJcAgoIKkqZ+vpbxM8QkrE8HpO/FQufnBLzfTgaZQE4t5AeCs5w==" saltValue="0DnO5QGFpFlyrZb1DWdY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1166084.7932</v>
      </c>
      <c r="C2" s="53">
        <v>1342000</v>
      </c>
      <c r="D2" s="53">
        <v>1898000</v>
      </c>
      <c r="E2" s="53">
        <v>1211000</v>
      </c>
      <c r="F2" s="53">
        <v>823000</v>
      </c>
      <c r="G2" s="14">
        <f t="shared" ref="G2:G11" si="0">C2+D2+E2+F2</f>
        <v>5274000</v>
      </c>
      <c r="H2" s="14">
        <f t="shared" ref="H2:H11" si="1">(B2 + stillbirth*B2/(1000-stillbirth))/(1-abortion)</f>
        <v>1246684.2851566894</v>
      </c>
      <c r="I2" s="14">
        <f t="shared" ref="I2:I11" si="2">G2-H2</f>
        <v>4027315.7148433104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1202877.5967999999</v>
      </c>
      <c r="C3" s="53">
        <v>1398000</v>
      </c>
      <c r="D3" s="53">
        <v>1986000</v>
      </c>
      <c r="E3" s="53">
        <v>1253000</v>
      </c>
      <c r="F3" s="53">
        <v>854000</v>
      </c>
      <c r="G3" s="14">
        <f t="shared" si="0"/>
        <v>5491000</v>
      </c>
      <c r="H3" s="14">
        <f t="shared" si="1"/>
        <v>1286020.1982244703</v>
      </c>
      <c r="I3" s="14">
        <f t="shared" si="2"/>
        <v>4204979.80177553</v>
      </c>
    </row>
    <row r="4" spans="1:9" ht="15.75" customHeight="1" x14ac:dyDescent="0.2">
      <c r="A4" s="7">
        <f t="shared" si="3"/>
        <v>2023</v>
      </c>
      <c r="B4" s="52">
        <v>1240620.2952000001</v>
      </c>
      <c r="C4" s="53">
        <v>1456000</v>
      </c>
      <c r="D4" s="53">
        <v>2079000</v>
      </c>
      <c r="E4" s="53">
        <v>1298000</v>
      </c>
      <c r="F4" s="53">
        <v>886000</v>
      </c>
      <c r="G4" s="14">
        <f t="shared" si="0"/>
        <v>5719000</v>
      </c>
      <c r="H4" s="14">
        <f t="shared" si="1"/>
        <v>1326371.6625854485</v>
      </c>
      <c r="I4" s="14">
        <f t="shared" si="2"/>
        <v>4392628.3374145515</v>
      </c>
    </row>
    <row r="5" spans="1:9" ht="15.75" customHeight="1" x14ac:dyDescent="0.2">
      <c r="A5" s="7">
        <f t="shared" si="3"/>
        <v>2024</v>
      </c>
      <c r="B5" s="52">
        <v>1279326.1516</v>
      </c>
      <c r="C5" s="53">
        <v>1516000</v>
      </c>
      <c r="D5" s="53">
        <v>2176000</v>
      </c>
      <c r="E5" s="53">
        <v>1348000</v>
      </c>
      <c r="F5" s="53">
        <v>918000</v>
      </c>
      <c r="G5" s="14">
        <f t="shared" si="0"/>
        <v>5958000</v>
      </c>
      <c r="H5" s="14">
        <f t="shared" si="1"/>
        <v>1367752.8581887216</v>
      </c>
      <c r="I5" s="14">
        <f t="shared" si="2"/>
        <v>4590247.1418112786</v>
      </c>
    </row>
    <row r="6" spans="1:9" ht="15.75" customHeight="1" x14ac:dyDescent="0.2">
      <c r="A6" s="7">
        <f t="shared" si="3"/>
        <v>2025</v>
      </c>
      <c r="B6" s="52">
        <v>1319052.5190000001</v>
      </c>
      <c r="C6" s="53">
        <v>1578000</v>
      </c>
      <c r="D6" s="53">
        <v>2276000</v>
      </c>
      <c r="E6" s="53">
        <v>1403000</v>
      </c>
      <c r="F6" s="53">
        <v>951000</v>
      </c>
      <c r="G6" s="14">
        <f t="shared" si="0"/>
        <v>6208000</v>
      </c>
      <c r="H6" s="14">
        <f t="shared" si="1"/>
        <v>1410225.1022594378</v>
      </c>
      <c r="I6" s="14">
        <f t="shared" si="2"/>
        <v>4797774.8977405624</v>
      </c>
    </row>
    <row r="7" spans="1:9" ht="15.75" customHeight="1" x14ac:dyDescent="0.2">
      <c r="A7" s="7">
        <f t="shared" si="3"/>
        <v>2026</v>
      </c>
      <c r="B7" s="52">
        <v>1358170.7723999999</v>
      </c>
      <c r="C7" s="53">
        <v>1638000</v>
      </c>
      <c r="D7" s="53">
        <v>2377000</v>
      </c>
      <c r="E7" s="53">
        <v>1462000</v>
      </c>
      <c r="F7" s="53">
        <v>982000</v>
      </c>
      <c r="G7" s="14">
        <f t="shared" si="0"/>
        <v>6459000</v>
      </c>
      <c r="H7" s="14">
        <f t="shared" si="1"/>
        <v>1452047.1996411611</v>
      </c>
      <c r="I7" s="14">
        <f t="shared" si="2"/>
        <v>5006952.8003588393</v>
      </c>
    </row>
    <row r="8" spans="1:9" ht="15.75" customHeight="1" x14ac:dyDescent="0.2">
      <c r="A8" s="7">
        <f t="shared" si="3"/>
        <v>2027</v>
      </c>
      <c r="B8" s="52">
        <v>1398170.9398000001</v>
      </c>
      <c r="C8" s="53">
        <v>1701000</v>
      </c>
      <c r="D8" s="53">
        <v>2482000</v>
      </c>
      <c r="E8" s="53">
        <v>1528000</v>
      </c>
      <c r="F8" s="53">
        <v>1014000</v>
      </c>
      <c r="G8" s="14">
        <f t="shared" si="0"/>
        <v>6725000</v>
      </c>
      <c r="H8" s="14">
        <f t="shared" si="1"/>
        <v>1494812.1687000315</v>
      </c>
      <c r="I8" s="14">
        <f t="shared" si="2"/>
        <v>5230187.8312999681</v>
      </c>
    </row>
    <row r="9" spans="1:9" ht="15.75" customHeight="1" x14ac:dyDescent="0.2">
      <c r="A9" s="7">
        <f t="shared" si="3"/>
        <v>2028</v>
      </c>
      <c r="B9" s="52">
        <v>1439011.1148000001</v>
      </c>
      <c r="C9" s="53">
        <v>1765000</v>
      </c>
      <c r="D9" s="53">
        <v>2590000</v>
      </c>
      <c r="E9" s="53">
        <v>1599000</v>
      </c>
      <c r="F9" s="53">
        <v>1049000</v>
      </c>
      <c r="G9" s="14">
        <f t="shared" si="0"/>
        <v>7003000</v>
      </c>
      <c r="H9" s="14">
        <f t="shared" si="1"/>
        <v>1538475.2064760642</v>
      </c>
      <c r="I9" s="14">
        <f t="shared" si="2"/>
        <v>5464524.7935239356</v>
      </c>
    </row>
    <row r="10" spans="1:9" ht="15.75" customHeight="1" x14ac:dyDescent="0.2">
      <c r="A10" s="7">
        <f t="shared" si="3"/>
        <v>2029</v>
      </c>
      <c r="B10" s="52">
        <v>1480649.391000001</v>
      </c>
      <c r="C10" s="53">
        <v>1832000</v>
      </c>
      <c r="D10" s="53">
        <v>2702000</v>
      </c>
      <c r="E10" s="53">
        <v>1674000</v>
      </c>
      <c r="F10" s="53">
        <v>1084000</v>
      </c>
      <c r="G10" s="14">
        <f t="shared" si="0"/>
        <v>7292000</v>
      </c>
      <c r="H10" s="14">
        <f t="shared" si="1"/>
        <v>1582991.5100092771</v>
      </c>
      <c r="I10" s="14">
        <f t="shared" si="2"/>
        <v>5709008.4899907224</v>
      </c>
    </row>
    <row r="11" spans="1:9" ht="15.75" customHeight="1" x14ac:dyDescent="0.2">
      <c r="A11" s="7">
        <f t="shared" si="3"/>
        <v>2030</v>
      </c>
      <c r="B11" s="52">
        <v>1523043.862</v>
      </c>
      <c r="C11" s="53">
        <v>1901000</v>
      </c>
      <c r="D11" s="53">
        <v>2817000</v>
      </c>
      <c r="E11" s="53">
        <v>1754000</v>
      </c>
      <c r="F11" s="53">
        <v>1121000</v>
      </c>
      <c r="G11" s="14">
        <f t="shared" si="0"/>
        <v>7593000</v>
      </c>
      <c r="H11" s="14">
        <f t="shared" si="1"/>
        <v>1628316.276339683</v>
      </c>
      <c r="I11" s="14">
        <f t="shared" si="2"/>
        <v>5964683.7236603172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gEOo85DlNqXWlhw80WG0OyOMGwxajNk0Bf7tQl4OdNQgkHsqMDWMdbMfomYUawobsTDbDidcEtpbTFlOkz5HzA==" saltValue="7Nl1RoGOakFfehOH9SCkJ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pqg9j75OEDDJ+Do47RHwNoCUjCGDniZ/V4wZKDGMof5orcj7QUUzkzZ3bSkHAKipFM2stYETocfSkiAV0sBrPA==" saltValue="IbXMiXT09xaZuO5VzQJZ5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aPKYybRLhOWFaKYbm2jibMcju9w8tNfNUJKkGifSQcR1V2m6xSDO0iq/L2luF2tMd4rtT7T+xRT9JLBXgSnug==" saltValue="YPzpEjybNecWMEeq4o1C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rSbM32XLcNnK6goVOy2jQxVGAA2bjGoTbEze1XXVDYC7nCQJXkshH1q0nXrDcZIUYAgRX2HVrynjx2HTod95fA==" saltValue="mEZDAHawXgxqFVjVLBKd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k5XKDUmr+TIAIV2TsUtwnzCEYAqLwOK4XjpRgfV35wGM7LtWsDQ4gmqUbaEGkvMJQzNeZTKmY9357WIoX8/+A==" saltValue="O6FE6MH04y0Wp1pXg9Hh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3vSr2tXbugY71Fr/OdHYXxiWm8rDwQEnTkL1tKnmdiiMJxIxttUGjiUYiUMfVi9x9UofG/sAcj54Pvxxou6+A==" saltValue="iwpVkBStE7GrWCpzCDtQ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cgL3kc0Mb0+XzrutxhVLFLQLJswie7a+He3Gkt28H9HmuVECJ8BrqdfokF+smiEFOcQqEjevzjnOHcFzFVzqOg==" saltValue="/SnR1Ub12fW5EikkAE0J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9BL7hIXQ0u9LLSHUpao7XaEv1gQOn4zM6i3KolCRPjlgR7WK3lg3xJDpDB3YM/BOT7nKejBixz3u2RYvtHEhiA==" saltValue="umnbF5aTb2b2pWevFEqs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7oHbABN5dQHElOJtbE7c/Pwm9p2iIup+StQ7699Imy+66/KT/UJWmJH+DGlVh8OmfF9SMrGxk2tzVW/jmaOztA==" saltValue="/5BR2mSJ7lZl5uqAN1Zi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aRy79dCunOsZ4TuMDmyLFllTHUsQeY1OvbfaEGRO2dG89I55fd1IhuFHu6WrH0CCHPmJh6augHhQpgFg4q1nw==" saltValue="4Bb3b3kZD0zo+Dfi2WqH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5.0711218856518943E-3</v>
      </c>
    </row>
    <row r="4" spans="1:8" ht="15.75" customHeight="1" x14ac:dyDescent="0.2">
      <c r="B4" s="16" t="s">
        <v>79</v>
      </c>
      <c r="C4" s="54">
        <v>0.20159308400944581</v>
      </c>
    </row>
    <row r="5" spans="1:8" ht="15.75" customHeight="1" x14ac:dyDescent="0.2">
      <c r="B5" s="16" t="s">
        <v>80</v>
      </c>
      <c r="C5" s="54">
        <v>7.0841089476469304E-2</v>
      </c>
    </row>
    <row r="6" spans="1:8" ht="15.75" customHeight="1" x14ac:dyDescent="0.2">
      <c r="B6" s="16" t="s">
        <v>81</v>
      </c>
      <c r="C6" s="54">
        <v>0.26291722844531817</v>
      </c>
    </row>
    <row r="7" spans="1:8" ht="15.75" customHeight="1" x14ac:dyDescent="0.2">
      <c r="B7" s="16" t="s">
        <v>82</v>
      </c>
      <c r="C7" s="54">
        <v>0.30852125846130529</v>
      </c>
    </row>
    <row r="8" spans="1:8" ht="15.75" customHeight="1" x14ac:dyDescent="0.2">
      <c r="B8" s="16" t="s">
        <v>83</v>
      </c>
      <c r="C8" s="54">
        <v>6.6698158995326766E-3</v>
      </c>
    </row>
    <row r="9" spans="1:8" ht="15.75" customHeight="1" x14ac:dyDescent="0.2">
      <c r="B9" s="16" t="s">
        <v>84</v>
      </c>
      <c r="C9" s="54">
        <v>6.0829638249310113E-2</v>
      </c>
    </row>
    <row r="10" spans="1:8" ht="15.75" customHeight="1" x14ac:dyDescent="0.2">
      <c r="B10" s="16" t="s">
        <v>85</v>
      </c>
      <c r="C10" s="54">
        <v>8.3556763572966736E-2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0.1295052050736441</v>
      </c>
      <c r="D14" s="54">
        <v>0.1295052050736441</v>
      </c>
      <c r="E14" s="54">
        <v>0.1295052050736441</v>
      </c>
      <c r="F14" s="54">
        <v>0.1295052050736441</v>
      </c>
    </row>
    <row r="15" spans="1:8" ht="15.75" customHeight="1" x14ac:dyDescent="0.2">
      <c r="B15" s="16" t="s">
        <v>88</v>
      </c>
      <c r="C15" s="54">
        <v>0.19539216150558139</v>
      </c>
      <c r="D15" s="54">
        <v>0.19539216150558139</v>
      </c>
      <c r="E15" s="54">
        <v>0.19539216150558139</v>
      </c>
      <c r="F15" s="54">
        <v>0.19539216150558139</v>
      </c>
    </row>
    <row r="16" spans="1:8" ht="15.75" customHeight="1" x14ac:dyDescent="0.2">
      <c r="B16" s="16" t="s">
        <v>89</v>
      </c>
      <c r="C16" s="54">
        <v>3.4671812811348728E-2</v>
      </c>
      <c r="D16" s="54">
        <v>3.4671812811348728E-2</v>
      </c>
      <c r="E16" s="54">
        <v>3.4671812811348728E-2</v>
      </c>
      <c r="F16" s="54">
        <v>3.4671812811348728E-2</v>
      </c>
    </row>
    <row r="17" spans="1:8" ht="15.75" customHeight="1" x14ac:dyDescent="0.2">
      <c r="B17" s="16" t="s">
        <v>90</v>
      </c>
      <c r="C17" s="54">
        <v>9.4646993726975066E-3</v>
      </c>
      <c r="D17" s="54">
        <v>9.4646993726975066E-3</v>
      </c>
      <c r="E17" s="54">
        <v>9.4646993726975066E-3</v>
      </c>
      <c r="F17" s="54">
        <v>9.4646993726975066E-3</v>
      </c>
    </row>
    <row r="18" spans="1:8" ht="15.75" customHeight="1" x14ac:dyDescent="0.2">
      <c r="B18" s="16" t="s">
        <v>91</v>
      </c>
      <c r="C18" s="54">
        <v>0.27475514174548932</v>
      </c>
      <c r="D18" s="54">
        <v>0.27475514174548932</v>
      </c>
      <c r="E18" s="54">
        <v>0.27475514174548932</v>
      </c>
      <c r="F18" s="54">
        <v>0.27475514174548932</v>
      </c>
    </row>
    <row r="19" spans="1:8" ht="15.75" customHeight="1" x14ac:dyDescent="0.2">
      <c r="B19" s="16" t="s">
        <v>92</v>
      </c>
      <c r="C19" s="54">
        <v>1.2696035408752851E-2</v>
      </c>
      <c r="D19" s="54">
        <v>1.2696035408752851E-2</v>
      </c>
      <c r="E19" s="54">
        <v>1.2696035408752851E-2</v>
      </c>
      <c r="F19" s="54">
        <v>1.2696035408752851E-2</v>
      </c>
    </row>
    <row r="20" spans="1:8" ht="15.75" customHeight="1" x14ac:dyDescent="0.2">
      <c r="B20" s="16" t="s">
        <v>93</v>
      </c>
      <c r="C20" s="54">
        <v>4.3681413272862414E-3</v>
      </c>
      <c r="D20" s="54">
        <v>4.3681413272862414E-3</v>
      </c>
      <c r="E20" s="54">
        <v>4.3681413272862414E-3</v>
      </c>
      <c r="F20" s="54">
        <v>4.3681413272862414E-3</v>
      </c>
    </row>
    <row r="21" spans="1:8" ht="15.75" customHeight="1" x14ac:dyDescent="0.2">
      <c r="B21" s="16" t="s">
        <v>94</v>
      </c>
      <c r="C21" s="54">
        <v>8.8282279172302719E-2</v>
      </c>
      <c r="D21" s="54">
        <v>8.8282279172302719E-2</v>
      </c>
      <c r="E21" s="54">
        <v>8.8282279172302719E-2</v>
      </c>
      <c r="F21" s="54">
        <v>8.8282279172302719E-2</v>
      </c>
    </row>
    <row r="22" spans="1:8" ht="15.75" customHeight="1" x14ac:dyDescent="0.2">
      <c r="B22" s="16" t="s">
        <v>95</v>
      </c>
      <c r="C22" s="54">
        <v>0.25086452358289713</v>
      </c>
      <c r="D22" s="54">
        <v>0.25086452358289713</v>
      </c>
      <c r="E22" s="54">
        <v>0.25086452358289713</v>
      </c>
      <c r="F22" s="54">
        <v>0.25086452358289713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8.77E-2</v>
      </c>
    </row>
    <row r="27" spans="1:8" ht="15.75" customHeight="1" x14ac:dyDescent="0.2">
      <c r="B27" s="16" t="s">
        <v>102</v>
      </c>
      <c r="C27" s="54">
        <v>8.8000000000000005E-3</v>
      </c>
    </row>
    <row r="28" spans="1:8" ht="15.75" customHeight="1" x14ac:dyDescent="0.2">
      <c r="B28" s="16" t="s">
        <v>103</v>
      </c>
      <c r="C28" s="54">
        <v>0.1552</v>
      </c>
    </row>
    <row r="29" spans="1:8" ht="15.75" customHeight="1" x14ac:dyDescent="0.2">
      <c r="B29" s="16" t="s">
        <v>104</v>
      </c>
      <c r="C29" s="54">
        <v>0.16950000000000001</v>
      </c>
    </row>
    <row r="30" spans="1:8" ht="15.75" customHeight="1" x14ac:dyDescent="0.2">
      <c r="B30" s="16" t="s">
        <v>2</v>
      </c>
      <c r="C30" s="54">
        <v>0.1062</v>
      </c>
    </row>
    <row r="31" spans="1:8" ht="15.75" customHeight="1" x14ac:dyDescent="0.2">
      <c r="B31" s="16" t="s">
        <v>105</v>
      </c>
      <c r="C31" s="54">
        <v>0.11070000000000001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8.539999999999999E-2</v>
      </c>
    </row>
    <row r="34" spans="2:3" ht="15.75" customHeight="1" x14ac:dyDescent="0.2">
      <c r="B34" s="16" t="s">
        <v>108</v>
      </c>
      <c r="C34" s="54">
        <v>0.25759999999999988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aIja7R3EaPE4juKPzkPMO6+ofwupyN61ewOvecr8yrExEaXKJdqMMzq8EgWUMORL4kvcxVDDaH2Q1Y4/Tz89rw==" saltValue="kO/0zpcP099lMeWbWdk4l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0.63481676578521695</v>
      </c>
      <c r="D2" s="55">
        <v>0.63481676578521695</v>
      </c>
      <c r="E2" s="55">
        <v>0.49387827515602101</v>
      </c>
      <c r="F2" s="55">
        <v>0.29396292567253102</v>
      </c>
      <c r="G2" s="55">
        <v>0.252077966928482</v>
      </c>
    </row>
    <row r="3" spans="1:15" ht="15.75" customHeight="1" x14ac:dyDescent="0.2">
      <c r="B3" s="7" t="s">
        <v>113</v>
      </c>
      <c r="C3" s="55">
        <v>0.196812078356743</v>
      </c>
      <c r="D3" s="55">
        <v>0.196812078356743</v>
      </c>
      <c r="E3" s="55">
        <v>0.26095610857009899</v>
      </c>
      <c r="F3" s="55">
        <v>0.24312828481197399</v>
      </c>
      <c r="G3" s="55">
        <v>0.23849384486675301</v>
      </c>
    </row>
    <row r="4" spans="1:15" ht="15.75" customHeight="1" x14ac:dyDescent="0.2">
      <c r="B4" s="7" t="s">
        <v>114</v>
      </c>
      <c r="C4" s="56">
        <v>8.670608699321751E-2</v>
      </c>
      <c r="D4" s="56">
        <v>8.670608699321751E-2</v>
      </c>
      <c r="E4" s="56">
        <v>0.159096404910088</v>
      </c>
      <c r="F4" s="56">
        <v>0.22412359714508101</v>
      </c>
      <c r="G4" s="56">
        <v>0.245774075388908</v>
      </c>
    </row>
    <row r="5" spans="1:15" ht="15.75" customHeight="1" x14ac:dyDescent="0.2">
      <c r="B5" s="7" t="s">
        <v>115</v>
      </c>
      <c r="C5" s="56">
        <v>8.16650390625E-2</v>
      </c>
      <c r="D5" s="56">
        <v>8.16650390625E-2</v>
      </c>
      <c r="E5" s="56">
        <v>8.6069203913211809E-2</v>
      </c>
      <c r="F5" s="56">
        <v>0.23878520727157601</v>
      </c>
      <c r="G5" s="56">
        <v>0.26365414261817899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0.61872357130050704</v>
      </c>
      <c r="D8" s="55">
        <v>0.61872357130050704</v>
      </c>
      <c r="E8" s="55">
        <v>0.41428828239440901</v>
      </c>
      <c r="F8" s="55">
        <v>0.440894335508347</v>
      </c>
      <c r="G8" s="55">
        <v>0.61027038097381603</v>
      </c>
    </row>
    <row r="9" spans="1:15" ht="15.75" customHeight="1" x14ac:dyDescent="0.2">
      <c r="B9" s="7" t="s">
        <v>118</v>
      </c>
      <c r="C9" s="55">
        <v>0.181698858737946</v>
      </c>
      <c r="D9" s="55">
        <v>0.181698858737946</v>
      </c>
      <c r="E9" s="55">
        <v>0.28081145882606501</v>
      </c>
      <c r="F9" s="55">
        <v>0.29756933450698803</v>
      </c>
      <c r="G9" s="55">
        <v>0.25287190079688998</v>
      </c>
    </row>
    <row r="10" spans="1:15" ht="15.75" customHeight="1" x14ac:dyDescent="0.2">
      <c r="B10" s="7" t="s">
        <v>119</v>
      </c>
      <c r="C10" s="56">
        <v>0.122094660997391</v>
      </c>
      <c r="D10" s="56">
        <v>0.122094660997391</v>
      </c>
      <c r="E10" s="56">
        <v>0.16942335665225999</v>
      </c>
      <c r="F10" s="56">
        <v>0.17734917998313901</v>
      </c>
      <c r="G10" s="56">
        <v>8.7805747985839802E-2</v>
      </c>
    </row>
    <row r="11" spans="1:15" ht="15.75" customHeight="1" x14ac:dyDescent="0.2">
      <c r="B11" s="7" t="s">
        <v>120</v>
      </c>
      <c r="C11" s="56">
        <v>7.7482923865318298E-2</v>
      </c>
      <c r="D11" s="56">
        <v>7.7482923865318298E-2</v>
      </c>
      <c r="E11" s="56">
        <v>0.13547691702842701</v>
      </c>
      <c r="F11" s="56">
        <v>8.4187164902687114E-2</v>
      </c>
      <c r="G11" s="56">
        <v>4.9052000045776402E-2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0.76261907750000002</v>
      </c>
      <c r="D14" s="57">
        <v>0.76158313046600001</v>
      </c>
      <c r="E14" s="57">
        <v>0.76158313046600001</v>
      </c>
      <c r="F14" s="57">
        <v>0.73774203991099996</v>
      </c>
      <c r="G14" s="57">
        <v>0.73774203991099996</v>
      </c>
      <c r="H14" s="58">
        <v>0.59599999999999997</v>
      </c>
      <c r="I14" s="58">
        <v>0.58855895196506558</v>
      </c>
      <c r="J14" s="58">
        <v>0.57448471615720531</v>
      </c>
      <c r="K14" s="58">
        <v>0.58216157205240182</v>
      </c>
      <c r="L14" s="58">
        <v>0.45357261836099999</v>
      </c>
      <c r="M14" s="58">
        <v>0.33882750686800001</v>
      </c>
      <c r="N14" s="58">
        <v>0.33359003717050001</v>
      </c>
      <c r="O14" s="58">
        <v>0.3866115698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0.32436227094055387</v>
      </c>
      <c r="D15" s="55">
        <f t="shared" si="0"/>
        <v>0.32392165498635572</v>
      </c>
      <c r="E15" s="55">
        <f t="shared" si="0"/>
        <v>0.32392165498635572</v>
      </c>
      <c r="F15" s="55">
        <f t="shared" si="0"/>
        <v>0.31378140213630923</v>
      </c>
      <c r="G15" s="55">
        <f t="shared" si="0"/>
        <v>0.31378140213630923</v>
      </c>
      <c r="H15" s="55">
        <f t="shared" si="0"/>
        <v>0.25349472519663013</v>
      </c>
      <c r="I15" s="55">
        <f t="shared" si="0"/>
        <v>0.25032984864161234</v>
      </c>
      <c r="J15" s="55">
        <f t="shared" si="0"/>
        <v>0.24434370008713899</v>
      </c>
      <c r="K15" s="55">
        <f t="shared" si="0"/>
        <v>0.24760887202594262</v>
      </c>
      <c r="L15" s="55">
        <f t="shared" si="0"/>
        <v>0.19291655410761357</v>
      </c>
      <c r="M15" s="55">
        <f t="shared" si="0"/>
        <v>0.14411239218550836</v>
      </c>
      <c r="N15" s="55">
        <f t="shared" si="0"/>
        <v>0.14188475637729789</v>
      </c>
      <c r="O15" s="55">
        <f t="shared" si="0"/>
        <v>0.16443623094679327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hGoJs2Zg4iHj6+JcO1VuupciLWcos0qjEEOwfWVxfPrPqxvxd44rR2VJ1OkIKzoRCyL7poH3e4OlrKzO3xTlg==" saltValue="/BdtWpL2mmc2/hs/+/tS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0.34035491943359403</v>
      </c>
      <c r="D2" s="56">
        <v>0.2170175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0.58647167682647694</v>
      </c>
      <c r="D3" s="56">
        <v>0.64687280000000003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4.6230707317590693E-2</v>
      </c>
      <c r="D4" s="56">
        <v>0.1213887</v>
      </c>
      <c r="E4" s="56">
        <v>0.98333287239074707</v>
      </c>
      <c r="F4" s="56">
        <v>0.78482824563980103</v>
      </c>
      <c r="G4" s="56">
        <v>0</v>
      </c>
    </row>
    <row r="5" spans="1:7" x14ac:dyDescent="0.2">
      <c r="B5" s="98" t="s">
        <v>132</v>
      </c>
      <c r="C5" s="55">
        <v>2.6942696422338201E-2</v>
      </c>
      <c r="D5" s="55">
        <v>1.4721E-2</v>
      </c>
      <c r="E5" s="55">
        <v>1.666712760925293E-2</v>
      </c>
      <c r="F5" s="55">
        <v>0.215171754360199</v>
      </c>
      <c r="G5" s="55">
        <v>1</v>
      </c>
    </row>
  </sheetData>
  <sheetProtection algorithmName="SHA-512" hashValue="Kg1T8I9VtYm3CUh9w3jStek3z3BUbkSsIl+x0rWVtwUGZpSJVYcaVIV0UpXtF55PfBQP0eoOttPUKkX0McKjsA==" saltValue="RI9qQbIArC2QtGVyQ3Kyk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5aaLhIe6/jfZP5z/msm9R5cQQtusIIev/74V51kMA0MF8X3xilOuP7/08LP1ZE0BiNN32S3LPOoMpqQJbTdig==" saltValue="84OzIzYycr0l82kOLO1D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ZemoGUJTe4CFglvA3zgNPmRFChIukGLWgomudP60iNJnOJCFnxZvC9ZPR3F/a7RkaT3HfyzoZL2zN3o8voowOw==" saltValue="mypx8FCP0DOweC4ZC0ql4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uv3xKT+ox9RtOMaFmI0dCGRtwM/voeohuWqytbT9DtLWBdRV0Zb/wRCoWQa5XgNlPUAoAzVwbqc2LYkGA3cIuQ==" saltValue="Rzl3GBhPe2Mhx2TkE70O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t0bYJVB4wgSlyFn3JokpDmne/LxuHizmnrqnJqARIzoLVq3UV/ffsu1Kng7bLhil2nAvTgePZU2tH1JCg36hQ==" saltValue="zqtaYbxWJ3RmbXIj0NZ8I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2022-02-02T07:54:34Z</dcterms:modified>
</cp:coreProperties>
</file>