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E32B329B-49B0-48ED-8370-23F3B9F498D8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34" i="2" l="1"/>
  <c r="A35" i="2"/>
  <c r="A25" i="2"/>
  <c r="I2" i="2"/>
  <c r="I6" i="2"/>
  <c r="I10" i="2"/>
  <c r="A26" i="2"/>
  <c r="A39" i="2"/>
  <c r="A27" i="2"/>
  <c r="I39" i="2"/>
  <c r="I3" i="2"/>
  <c r="I7" i="2"/>
  <c r="I11" i="2"/>
  <c r="A33" i="2"/>
  <c r="A12" i="2"/>
  <c r="A28" i="2"/>
  <c r="A13" i="2"/>
  <c r="A21" i="2"/>
  <c r="A29" i="2"/>
  <c r="A37" i="2"/>
  <c r="A14" i="2"/>
  <c r="A40" i="2"/>
  <c r="A20" i="2"/>
  <c r="A36" i="2"/>
  <c r="A22" i="2"/>
  <c r="A38" i="2"/>
  <c r="D58" i="20"/>
  <c r="A15" i="2"/>
  <c r="A23" i="2"/>
  <c r="A31" i="2"/>
  <c r="A3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<sst xmlns="http://schemas.openxmlformats.org/spreadsheetml/2006/main" count="2092" uniqueCount="337">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</sst>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2776596.5</v>
      </c>
    </row>
    <row r="8" spans="1:3" ht="15" customHeight="1" x14ac:dyDescent="0.2">
      <c r="B8" s="7" t="s">
        <v>19</v>
      </c>
      <c r="C8" s="46">
        <v>0.252</v>
      </c>
    </row>
    <row r="9" spans="1:3" ht="15" customHeight="1" x14ac:dyDescent="0.2">
      <c r="B9" s="7" t="s">
        <v>20</v>
      </c>
      <c r="C9" s="47">
        <v>2.5600000000000001E-2</v>
      </c>
    </row>
    <row r="10" spans="1:3" ht="15" customHeight="1" x14ac:dyDescent="0.2">
      <c r="B10" s="7" t="s">
        <v>21</v>
      </c>
      <c r="C10" s="47">
        <v>0.57262748718261702</v>
      </c>
    </row>
    <row r="11" spans="1:3" ht="15" customHeight="1" x14ac:dyDescent="0.2">
      <c r="B11" s="7" t="s">
        <v>22</v>
      </c>
      <c r="C11" s="46">
        <v>0.69400000000000006</v>
      </c>
    </row>
    <row r="12" spans="1:3" ht="15" customHeight="1" x14ac:dyDescent="0.2">
      <c r="B12" s="7" t="s">
        <v>23</v>
      </c>
      <c r="C12" s="46">
        <v>0.84900000000000009</v>
      </c>
    </row>
    <row r="13" spans="1:3" ht="15" customHeight="1" x14ac:dyDescent="0.2">
      <c r="B13" s="7" t="s">
        <v>24</v>
      </c>
      <c r="C13" s="46">
        <v>0.439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0.1673</v>
      </c>
    </row>
    <row r="24" spans="1:3" ht="15" customHeight="1" x14ac:dyDescent="0.2">
      <c r="B24" s="12" t="s">
        <v>33</v>
      </c>
      <c r="C24" s="47">
        <v>0.62609999999999999</v>
      </c>
    </row>
    <row r="25" spans="1:3" ht="15" customHeight="1" x14ac:dyDescent="0.2">
      <c r="B25" s="12" t="s">
        <v>34</v>
      </c>
      <c r="C25" s="47">
        <v>0.1709</v>
      </c>
    </row>
    <row r="26" spans="1:3" ht="15" customHeight="1" x14ac:dyDescent="0.2">
      <c r="B26" s="12" t="s">
        <v>35</v>
      </c>
      <c r="C26" s="47">
        <v>3.5700000000000003E-2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0.34100000000000003</v>
      </c>
    </row>
    <row r="30" spans="1:3" ht="14.25" customHeight="1" x14ac:dyDescent="0.2">
      <c r="B30" s="22" t="s">
        <v>38</v>
      </c>
      <c r="C30" s="49">
        <v>4.8000000000000001E-2</v>
      </c>
    </row>
    <row r="31" spans="1:3" ht="14.25" customHeight="1" x14ac:dyDescent="0.2">
      <c r="B31" s="22" t="s">
        <v>39</v>
      </c>
      <c r="C31" s="49">
        <v>0.112</v>
      </c>
    </row>
    <row r="32" spans="1:3" ht="14.25" customHeight="1" x14ac:dyDescent="0.2">
      <c r="B32" s="22" t="s">
        <v>40</v>
      </c>
      <c r="C32" s="49">
        <v>0.499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19.779938272721498</v>
      </c>
    </row>
    <row r="38" spans="1:5" ht="15" customHeight="1" x14ac:dyDescent="0.2">
      <c r="B38" s="28" t="s">
        <v>45</v>
      </c>
      <c r="C38" s="117">
        <v>25.618696562971401</v>
      </c>
      <c r="D38" s="9"/>
      <c r="E38" s="10"/>
    </row>
    <row r="39" spans="1:5" ht="15" customHeight="1" x14ac:dyDescent="0.2">
      <c r="B39" s="28" t="s">
        <v>46</v>
      </c>
      <c r="C39" s="117">
        <v>30.792190872791199</v>
      </c>
      <c r="D39" s="9"/>
      <c r="E39" s="9"/>
    </row>
    <row r="40" spans="1:5" ht="15" customHeight="1" x14ac:dyDescent="0.2">
      <c r="B40" s="28" t="s">
        <v>47</v>
      </c>
      <c r="C40" s="117">
        <v>186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17.4554297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3.1279399999999999E-2</v>
      </c>
      <c r="D45" s="9"/>
    </row>
    <row r="46" spans="1:5" ht="15.75" customHeight="1" x14ac:dyDescent="0.2">
      <c r="B46" s="28" t="s">
        <v>52</v>
      </c>
      <c r="C46" s="47">
        <v>0.1090655</v>
      </c>
      <c r="D46" s="9"/>
    </row>
    <row r="47" spans="1:5" ht="15.75" customHeight="1" x14ac:dyDescent="0.2">
      <c r="B47" s="28" t="s">
        <v>53</v>
      </c>
      <c r="C47" s="47">
        <v>0.36174550000000011</v>
      </c>
      <c r="D47" s="9"/>
      <c r="E47" s="10"/>
    </row>
    <row r="48" spans="1:5" ht="15" customHeight="1" x14ac:dyDescent="0.2">
      <c r="B48" s="28" t="s">
        <v>54</v>
      </c>
      <c r="C48" s="48">
        <v>0.49790960000000001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0.51214903195702188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21.813127999999899</v>
      </c>
    </row>
    <row r="63" spans="1:4" ht="15.75" customHeight="1" x14ac:dyDescent="0.2">
      <c r="A63" s="39"/>
    </row>
  </sheetData>
  <sheetProtection algorithmName="SHA-512" hashValue="PsqTIRyF1ZWWHNqFtPcQ28fUbmBEaveRfy0aWDbEmE0vQWEvh+4YCJCrzRrn7dHGcYgL8qfbX0En88zaR6aNWw==" saltValue="2nbrEqWW1ekck9fq4lXx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0.16743692830746401</v>
      </c>
      <c r="C2" s="115">
        <v>0.95</v>
      </c>
      <c r="D2" s="116">
        <v>36.247519202644909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44.666649407350029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72.912225149850372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1.223649899572512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14.191711276470389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14.191711276470389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14.191711276470389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14.191711276470389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14.191711276470389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14.191711276470389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2.02589106559753E-2</v>
      </c>
      <c r="C16" s="115">
        <v>0.95</v>
      </c>
      <c r="D16" s="116">
        <v>0.2479965587591009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2.41416666666667E-2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0.39709548950000001</v>
      </c>
      <c r="C18" s="115">
        <v>0.95</v>
      </c>
      <c r="D18" s="116">
        <v>1.783669753024828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0.39709548950000001</v>
      </c>
      <c r="C19" s="115">
        <v>0.95</v>
      </c>
      <c r="D19" s="116">
        <v>1.783669753024828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0.77654067989999997</v>
      </c>
      <c r="C21" s="115">
        <v>0.95</v>
      </c>
      <c r="D21" s="116">
        <v>9.0332234091804775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24.192824415868039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4.6601859455142458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0.59938014560913799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0.70902138948440596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20.497190899555481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0.37915290829999998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0.46500000000000002</v>
      </c>
      <c r="C29" s="115">
        <v>0.95</v>
      </c>
      <c r="D29" s="116">
        <v>63.934132245620098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1.2528760783438719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0.47412256872115971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0.70310981750000001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0.47402431130285599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0.47781840000327402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2.060337016073285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0.62053595449258603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UzwBl2zWO7iPG1AwSXK77tvLg6xh8GIcfwZQ0TWxw1OMdqKzEGrC4OgyK3T9k3N9NVeEYvH2lRs0jYP0aSN59w==" saltValue="xzL3Op5NIjf0EeRjwXog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FJpCItn06WDGQgEtbhAjBZO2ytU4d9sL+QhIWKPF9P75+JxsIINHJ5i1UvbsY2gMs1P5znTYmPhElFA5Zziuow==" saltValue="VgT6N20/tjVirkQ0iLc8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rnUYkH3NHV3abaeRsTQw5NjM087KZRP0KTx4kFXvIw3kXQxI6TImUPL+FMSl5G2/fspxXpNA9bV0xK5lzaAnRw==" saltValue="s/ob35rO3BGBptjep5PD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0.286367172</v>
      </c>
      <c r="C3" s="18">
        <f>frac_mam_1_5months * 2.6</f>
        <v>0.286367172</v>
      </c>
      <c r="D3" s="18">
        <f>frac_mam_6_11months * 2.6</f>
        <v>0.267502352</v>
      </c>
      <c r="E3" s="18">
        <f>frac_mam_12_23months * 2.6</f>
        <v>0.278405348</v>
      </c>
      <c r="F3" s="18">
        <f>frac_mam_24_59months * 2.6</f>
        <v>0.20934607460000004</v>
      </c>
    </row>
    <row r="4" spans="1:6" ht="15.75" customHeight="1" x14ac:dyDescent="0.2">
      <c r="A4" s="4" t="s">
        <v>208</v>
      </c>
      <c r="B4" s="18">
        <f>frac_sam_1month * 2.6</f>
        <v>0.12269331360000001</v>
      </c>
      <c r="C4" s="18">
        <f>frac_sam_1_5months * 2.6</f>
        <v>0.12269331360000001</v>
      </c>
      <c r="D4" s="18">
        <f>frac_sam_6_11months * 2.6</f>
        <v>0.12628498479999997</v>
      </c>
      <c r="E4" s="18">
        <f>frac_sam_12_23months * 2.6</f>
        <v>9.5964034400000009E-2</v>
      </c>
      <c r="F4" s="18">
        <f>frac_sam_24_59months * 2.6</f>
        <v>5.5895681400000008E-2</v>
      </c>
    </row>
  </sheetData>
  <sheetProtection algorithmName="SHA-512" hashValue="GtXax+miJQJLh9wAiGpMqMBmRs72+eVRjmVeop4IlM66lJytJqb6qPyuZSSsVY4UJO0xek8GPtfJ6nxtVlnXDA==" saltValue="EkB73VHntrSzoGpPFdTS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0.252</v>
      </c>
      <c r="E2" s="65">
        <f>food_insecure</f>
        <v>0.252</v>
      </c>
      <c r="F2" s="65">
        <f>food_insecure</f>
        <v>0.252</v>
      </c>
      <c r="G2" s="65">
        <f>food_insecure</f>
        <v>0.252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0.252</v>
      </c>
      <c r="F5" s="65">
        <f>food_insecure</f>
        <v>0.252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0.252</v>
      </c>
      <c r="F8" s="65">
        <f>food_insecure</f>
        <v>0.252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0.252</v>
      </c>
      <c r="F9" s="65">
        <f>food_insecure</f>
        <v>0.252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0.84900000000000009</v>
      </c>
      <c r="E10" s="65">
        <f>IF(ISBLANK(comm_deliv), frac_children_health_facility,1)</f>
        <v>0.84900000000000009</v>
      </c>
      <c r="F10" s="65">
        <f>IF(ISBLANK(comm_deliv), frac_children_health_facility,1)</f>
        <v>0.84900000000000009</v>
      </c>
      <c r="G10" s="65">
        <f>IF(ISBLANK(comm_deliv), frac_children_health_facility,1)</f>
        <v>0.84900000000000009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0.252</v>
      </c>
      <c r="I15" s="65">
        <f>food_insecure</f>
        <v>0.252</v>
      </c>
      <c r="J15" s="65">
        <f>food_insecure</f>
        <v>0.252</v>
      </c>
      <c r="K15" s="65">
        <f>food_insecure</f>
        <v>0.252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0.69400000000000006</v>
      </c>
      <c r="I18" s="65">
        <f>frac_PW_health_facility</f>
        <v>0.69400000000000006</v>
      </c>
      <c r="J18" s="65">
        <f>frac_PW_health_facility</f>
        <v>0.69400000000000006</v>
      </c>
      <c r="K18" s="65">
        <f>frac_PW_health_facility</f>
        <v>0.69400000000000006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2.5600000000000001E-2</v>
      </c>
      <c r="I19" s="65">
        <f>frac_malaria_risk</f>
        <v>2.5600000000000001E-2</v>
      </c>
      <c r="J19" s="65">
        <f>frac_malaria_risk</f>
        <v>2.5600000000000001E-2</v>
      </c>
      <c r="K19" s="65">
        <f>frac_malaria_risk</f>
        <v>2.5600000000000001E-2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0.439</v>
      </c>
      <c r="M24" s="65">
        <f>famplan_unmet_need</f>
        <v>0.439</v>
      </c>
      <c r="N24" s="65">
        <f>famplan_unmet_need</f>
        <v>0.439</v>
      </c>
      <c r="O24" s="65">
        <f>famplan_unmet_need</f>
        <v>0.439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0.23202908465881358</v>
      </c>
      <c r="M25" s="65">
        <f>(1-food_insecure)*(0.49)+food_insecure*(0.7)</f>
        <v>0.54292000000000007</v>
      </c>
      <c r="N25" s="65">
        <f>(1-food_insecure)*(0.49)+food_insecure*(0.7)</f>
        <v>0.54292000000000007</v>
      </c>
      <c r="O25" s="65">
        <f>(1-food_insecure)*(0.49)+food_insecure*(0.7)</f>
        <v>0.54292000000000007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9.9441036282348655E-2</v>
      </c>
      <c r="M26" s="65">
        <f>(1-food_insecure)*(0.21)+food_insecure*(0.3)</f>
        <v>0.23268</v>
      </c>
      <c r="N26" s="65">
        <f>(1-food_insecure)*(0.21)+food_insecure*(0.3)</f>
        <v>0.23268</v>
      </c>
      <c r="O26" s="65">
        <f>(1-food_insecure)*(0.21)+food_insecure*(0.3)</f>
        <v>0.23268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9.5902391876220738E-2</v>
      </c>
      <c r="M27" s="65">
        <f>(1-food_insecure)*(0.3)</f>
        <v>0.22439999999999999</v>
      </c>
      <c r="N27" s="65">
        <f>(1-food_insecure)*(0.3)</f>
        <v>0.22439999999999999</v>
      </c>
      <c r="O27" s="65">
        <f>(1-food_insecure)*(0.3)</f>
        <v>0.22439999999999999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0.57262748718261702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2.5600000000000001E-2</v>
      </c>
      <c r="D34" s="65">
        <f t="shared" si="3"/>
        <v>2.5600000000000001E-2</v>
      </c>
      <c r="E34" s="65">
        <f t="shared" si="3"/>
        <v>2.5600000000000001E-2</v>
      </c>
      <c r="F34" s="65">
        <f t="shared" si="3"/>
        <v>2.5600000000000001E-2</v>
      </c>
      <c r="G34" s="65">
        <f t="shared" si="3"/>
        <v>2.5600000000000001E-2</v>
      </c>
      <c r="H34" s="65">
        <f t="shared" si="3"/>
        <v>2.5600000000000001E-2</v>
      </c>
      <c r="I34" s="65">
        <f t="shared" si="3"/>
        <v>2.5600000000000001E-2</v>
      </c>
      <c r="J34" s="65">
        <f t="shared" si="3"/>
        <v>2.5600000000000001E-2</v>
      </c>
      <c r="K34" s="65">
        <f t="shared" si="3"/>
        <v>2.5600000000000001E-2</v>
      </c>
      <c r="L34" s="65">
        <f t="shared" si="3"/>
        <v>2.5600000000000001E-2</v>
      </c>
      <c r="M34" s="65">
        <f t="shared" si="3"/>
        <v>2.5600000000000001E-2</v>
      </c>
      <c r="N34" s="65">
        <f t="shared" si="3"/>
        <v>2.5600000000000001E-2</v>
      </c>
      <c r="O34" s="65">
        <f t="shared" si="3"/>
        <v>2.5600000000000001E-2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VqmurzLsbZS3DVLDsuEPiAvG+5eRBb8P+uEZC8YQ4BFKOcekqPI28Y5CHovyHBXEIOa7WyvrOHihNBkb64GpkQ==" saltValue="zl3z+iWhp9GcIqMqJjyN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sx8oLhYcTUVyLLfk+NnTIOpoyctyXP0fPxKmnpxR6KSttIkQhk7PsCqQsCfVy0A/aUeVw6A/qs9IGMNU3MSA4w==" saltValue="qb+uU2i1iI5eNng6SJg/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d7FACSz4DEIITCpqBEIky7ej5grM7p0tPnkykDiEUcoVnxvVuP9dCuo03FIL5lRkDXrt4wMSaBIMQtgQJQzNg==" saltValue="NDkbDF+gXeOVF/iYJd7b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60U7aTsQHq3FhnTBIXR+NznFZOvNnztkk93TdytTnrD3uonQnPM7aeFtdmYGA2wiY0okLkgmBauLZA8u2YdCw==" saltValue="Pm9o8qPUiyaEEOJoukwUL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rHnBV9qERx+QKN6VwFAK0hZiRbHBI3J2vscBBhBgYdYV4N8RMlDNzNRTT8F48KuXeuIxEiMUG/TAua6E/6ftJg==" saltValue="CWf9s4tYtNWJQ54Cu5re1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m/SFoVtEgDt4dIHa0jPuFRs7qs/wZDig0SW6WJ2a3QFPvMk9nClHH7bHGOQzT2Oiz+QgbbcmFkwUysN1Ts/WA==" saltValue="4X1KokaAlR78Qs9X0gRMo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565326.06400000001</v>
      </c>
      <c r="C2" s="53">
        <v>1570000</v>
      </c>
      <c r="D2" s="53">
        <v>2965000</v>
      </c>
      <c r="E2" s="53">
        <v>2410000</v>
      </c>
      <c r="F2" s="53">
        <v>1810000</v>
      </c>
      <c r="G2" s="14">
        <f t="shared" ref="G2:G11" si="0">C2+D2+E2+F2</f>
        <v>8755000</v>
      </c>
      <c r="H2" s="14">
        <f t="shared" ref="H2:H11" si="1">(B2 + stillbirth*B2/(1000-stillbirth))/(1-abortion)</f>
        <v>603112.56166770891</v>
      </c>
      <c r="I2" s="14">
        <f t="shared" ref="I2:I11" si="2">G2-H2</f>
        <v>8151887.4383322913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561516.625</v>
      </c>
      <c r="C3" s="53">
        <v>1554000</v>
      </c>
      <c r="D3" s="53">
        <v>2996000</v>
      </c>
      <c r="E3" s="53">
        <v>2465000</v>
      </c>
      <c r="F3" s="53">
        <v>1866000</v>
      </c>
      <c r="G3" s="14">
        <f t="shared" si="0"/>
        <v>8881000</v>
      </c>
      <c r="H3" s="14">
        <f t="shared" si="1"/>
        <v>599048.49906717951</v>
      </c>
      <c r="I3" s="14">
        <f t="shared" si="2"/>
        <v>8281951.5009328201</v>
      </c>
    </row>
    <row r="4" spans="1:9" ht="15.75" customHeight="1" x14ac:dyDescent="0.2">
      <c r="A4" s="7">
        <f t="shared" si="3"/>
        <v>2023</v>
      </c>
      <c r="B4" s="52">
        <v>557437.29599999997</v>
      </c>
      <c r="C4" s="53">
        <v>1535000</v>
      </c>
      <c r="D4" s="53">
        <v>3019000</v>
      </c>
      <c r="E4" s="53">
        <v>2520000</v>
      </c>
      <c r="F4" s="53">
        <v>1923000</v>
      </c>
      <c r="G4" s="14">
        <f t="shared" si="0"/>
        <v>8997000</v>
      </c>
      <c r="H4" s="14">
        <f t="shared" si="1"/>
        <v>594696.50696961477</v>
      </c>
      <c r="I4" s="14">
        <f t="shared" si="2"/>
        <v>8402303.493030386</v>
      </c>
    </row>
    <row r="5" spans="1:9" ht="15.75" customHeight="1" x14ac:dyDescent="0.2">
      <c r="A5" s="7">
        <f t="shared" si="3"/>
        <v>2024</v>
      </c>
      <c r="B5" s="52">
        <v>553056.7350000001</v>
      </c>
      <c r="C5" s="53">
        <v>1512000</v>
      </c>
      <c r="D5" s="53">
        <v>3032000</v>
      </c>
      <c r="E5" s="53">
        <v>2575000</v>
      </c>
      <c r="F5" s="53">
        <v>1980000</v>
      </c>
      <c r="G5" s="14">
        <f t="shared" si="0"/>
        <v>9099000</v>
      </c>
      <c r="H5" s="14">
        <f t="shared" si="1"/>
        <v>590023.14846999384</v>
      </c>
      <c r="I5" s="14">
        <f t="shared" si="2"/>
        <v>8508976.8515300062</v>
      </c>
    </row>
    <row r="6" spans="1:9" ht="15.75" customHeight="1" x14ac:dyDescent="0.2">
      <c r="A6" s="7">
        <f t="shared" si="3"/>
        <v>2025</v>
      </c>
      <c r="B6" s="52">
        <v>548346.10400000005</v>
      </c>
      <c r="C6" s="53">
        <v>1484000</v>
      </c>
      <c r="D6" s="53">
        <v>3031000</v>
      </c>
      <c r="E6" s="53">
        <v>2627000</v>
      </c>
      <c r="F6" s="53">
        <v>2036000</v>
      </c>
      <c r="G6" s="14">
        <f t="shared" si="0"/>
        <v>9178000</v>
      </c>
      <c r="H6" s="14">
        <f t="shared" si="1"/>
        <v>584997.65803111449</v>
      </c>
      <c r="I6" s="14">
        <f t="shared" si="2"/>
        <v>8593002.3419688847</v>
      </c>
    </row>
    <row r="7" spans="1:9" ht="15.75" customHeight="1" x14ac:dyDescent="0.2">
      <c r="A7" s="7">
        <f t="shared" si="3"/>
        <v>2026</v>
      </c>
      <c r="B7" s="52">
        <v>541440.38080000004</v>
      </c>
      <c r="C7" s="53">
        <v>1448000</v>
      </c>
      <c r="D7" s="53">
        <v>3032000</v>
      </c>
      <c r="E7" s="53">
        <v>2682000</v>
      </c>
      <c r="F7" s="53">
        <v>2091000</v>
      </c>
      <c r="G7" s="14">
        <f t="shared" si="0"/>
        <v>9253000</v>
      </c>
      <c r="H7" s="14">
        <f t="shared" si="1"/>
        <v>577630.35502751532</v>
      </c>
      <c r="I7" s="14">
        <f t="shared" si="2"/>
        <v>8675369.6449724846</v>
      </c>
    </row>
    <row r="8" spans="1:9" ht="15.75" customHeight="1" x14ac:dyDescent="0.2">
      <c r="A8" s="7">
        <f t="shared" si="3"/>
        <v>2027</v>
      </c>
      <c r="B8" s="52">
        <v>534171.14400000009</v>
      </c>
      <c r="C8" s="53">
        <v>1406000</v>
      </c>
      <c r="D8" s="53">
        <v>3022000</v>
      </c>
      <c r="E8" s="53">
        <v>2733000</v>
      </c>
      <c r="F8" s="53">
        <v>2148000</v>
      </c>
      <c r="G8" s="14">
        <f t="shared" si="0"/>
        <v>9309000</v>
      </c>
      <c r="H8" s="14">
        <f t="shared" si="1"/>
        <v>569875.24110830785</v>
      </c>
      <c r="I8" s="14">
        <f t="shared" si="2"/>
        <v>8739124.7588916924</v>
      </c>
    </row>
    <row r="9" spans="1:9" ht="15.75" customHeight="1" x14ac:dyDescent="0.2">
      <c r="A9" s="7">
        <f t="shared" si="3"/>
        <v>2028</v>
      </c>
      <c r="B9" s="52">
        <v>526548.40520000015</v>
      </c>
      <c r="C9" s="53">
        <v>1362000</v>
      </c>
      <c r="D9" s="53">
        <v>3000000</v>
      </c>
      <c r="E9" s="53">
        <v>2781000</v>
      </c>
      <c r="F9" s="53">
        <v>2202000</v>
      </c>
      <c r="G9" s="14">
        <f t="shared" si="0"/>
        <v>9345000</v>
      </c>
      <c r="H9" s="14">
        <f t="shared" si="1"/>
        <v>561742.99705066998</v>
      </c>
      <c r="I9" s="14">
        <f t="shared" si="2"/>
        <v>8783257.002949331</v>
      </c>
    </row>
    <row r="10" spans="1:9" ht="15.75" customHeight="1" x14ac:dyDescent="0.2">
      <c r="A10" s="7">
        <f t="shared" si="3"/>
        <v>2029</v>
      </c>
      <c r="B10" s="52">
        <v>518550.67040000012</v>
      </c>
      <c r="C10" s="53">
        <v>1326000</v>
      </c>
      <c r="D10" s="53">
        <v>2966000</v>
      </c>
      <c r="E10" s="53">
        <v>2827000</v>
      </c>
      <c r="F10" s="53">
        <v>2257000</v>
      </c>
      <c r="G10" s="14">
        <f t="shared" si="0"/>
        <v>9376000</v>
      </c>
      <c r="H10" s="14">
        <f t="shared" si="1"/>
        <v>553210.69219170453</v>
      </c>
      <c r="I10" s="14">
        <f t="shared" si="2"/>
        <v>8822789.3078082949</v>
      </c>
    </row>
    <row r="11" spans="1:9" ht="15.75" customHeight="1" x14ac:dyDescent="0.2">
      <c r="A11" s="7">
        <f t="shared" si="3"/>
        <v>2030</v>
      </c>
      <c r="B11" s="52">
        <v>510190.17599999998</v>
      </c>
      <c r="C11" s="53">
        <v>1303000</v>
      </c>
      <c r="D11" s="53">
        <v>2921000</v>
      </c>
      <c r="E11" s="53">
        <v>2865000</v>
      </c>
      <c r="F11" s="53">
        <v>2312000</v>
      </c>
      <c r="G11" s="14">
        <f t="shared" si="0"/>
        <v>9401000</v>
      </c>
      <c r="H11" s="14">
        <f t="shared" si="1"/>
        <v>544291.38081462879</v>
      </c>
      <c r="I11" s="14">
        <f t="shared" si="2"/>
        <v>8856708.6191853713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AkURYiI2LYAzHerQAQZFJX/zW3WX+IhZAvVLePJiC3MhaYDw4ce02CIRb39BPC5oVccLvV/+WrKnmT9GaeHTIw==" saltValue="qJndpn4J3dLQ65k/ISzyg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6h2Owy4xZSSNkRthbQ2aIx2fDGDC5T8DNOEMV9nM+cDpiHLTXf+9L0/7uPxHnxlDQjnb5Jc3MLyTk00jL3E3Q==" saltValue="bWP1SZx5qubX+GOTLmsU0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fufUyOJ/NfP7HjhH1wQh980S/SHDIZ7Ze2mZ+3d2FDkQww7TwKAdRieQICLsMFjii+FjQ1dlOqORiyLoMnXvgA==" saltValue="PQBqZdyEHnMSKPjG8KGX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y2bOgMBdcRaP2q5YAb14YxA+AAO7hJBp/FbZGPZU1ky/2ESOUOkkRIkdnV3wt3rjHvdMOcbCSYp5syZiqeGfg==" saltValue="46/KEXzSPE9xKkdEHzVT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4fI912xK9+bxK3HKmbD1aP59pHbIJOiDICp76h+TvLTyp71ZPfUNVE0hTnaJx6x3PpyPul58cbrx1A691IyNGA==" saltValue="Paevd6YRy7GdYUFYhoGU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9oQBD44ajt6/R9VzryI3EddSDecPPcery6PATXEjBhH1DaIWabnTdGIDq0RIbaIqlfdqA2bWtoN8eP6VVOJd1g==" saltValue="TPhwQslKA2GfhnB5entY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u15O3d67kWKQxO/sww6+n72EYEjrt2hpQ1eyGSrE4pk8ETPvIcdVAUPsNOM811c2mnxQMBNV0/Th+Z/H0c7ncg==" saltValue="yrb43zBG2+Tg4s6vk8Sb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N69JwDahIPPezbuKkZ4ABi0wDHX3ZvxmE65huKBCJ7CwTL2dXyDPf+GCBvRrm45qioWRXa7EXf9cVvWRamqVg==" saltValue="WeO4Vh5XBzIap5PeBk81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ZX1irKb7ymG2dRf9AqRH4HYPpWSQJqDfMJzdXt+cidY3BWh9zOFFI1qDLXwq9oDXw6IcP7cqYqS3w7bFCkXisw==" saltValue="ImhEBYhSLigz0/KX4nH5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W4r7+y53a6jSaqqtHlvtBbnx5tENOIYCCz5nCiJqiSSxr4QoHYbZ0VfSsWtBcJuJ3UMJUWXRlfUnfMTMeBPdDQ==" saltValue="nXO9AKfj12MXsK46Zq73M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6.4333244558641197E-3</v>
      </c>
    </row>
    <row r="4" spans="1:8" ht="15.75" customHeight="1" x14ac:dyDescent="0.2">
      <c r="B4" s="16" t="s">
        <v>79</v>
      </c>
      <c r="C4" s="54">
        <v>0.15904549948856239</v>
      </c>
    </row>
    <row r="5" spans="1:8" ht="15.75" customHeight="1" x14ac:dyDescent="0.2">
      <c r="B5" s="16" t="s">
        <v>80</v>
      </c>
      <c r="C5" s="54">
        <v>5.8302992070967737E-2</v>
      </c>
    </row>
    <row r="6" spans="1:8" ht="15.75" customHeight="1" x14ac:dyDescent="0.2">
      <c r="B6" s="16" t="s">
        <v>81</v>
      </c>
      <c r="C6" s="54">
        <v>0.2286118697475612</v>
      </c>
    </row>
    <row r="7" spans="1:8" ht="15.75" customHeight="1" x14ac:dyDescent="0.2">
      <c r="B7" s="16" t="s">
        <v>82</v>
      </c>
      <c r="C7" s="54">
        <v>0.33446188393416798</v>
      </c>
    </row>
    <row r="8" spans="1:8" ht="15.75" customHeight="1" x14ac:dyDescent="0.2">
      <c r="B8" s="16" t="s">
        <v>83</v>
      </c>
      <c r="C8" s="54">
        <v>6.2025858391936252E-3</v>
      </c>
    </row>
    <row r="9" spans="1:8" ht="15.75" customHeight="1" x14ac:dyDescent="0.2">
      <c r="B9" s="16" t="s">
        <v>84</v>
      </c>
      <c r="C9" s="54">
        <v>0.13095877111869419</v>
      </c>
    </row>
    <row r="10" spans="1:8" ht="15.75" customHeight="1" x14ac:dyDescent="0.2">
      <c r="B10" s="16" t="s">
        <v>85</v>
      </c>
      <c r="C10" s="54">
        <v>7.598307334498848E-2</v>
      </c>
    </row>
    <row r="11" spans="1:8" ht="15.75" customHeight="1" x14ac:dyDescent="0.2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0.15324693814198051</v>
      </c>
      <c r="D14" s="54">
        <v>0.15324693814198051</v>
      </c>
      <c r="E14" s="54">
        <v>0.15324693814198051</v>
      </c>
      <c r="F14" s="54">
        <v>0.15324693814198051</v>
      </c>
    </row>
    <row r="15" spans="1:8" ht="15.75" customHeight="1" x14ac:dyDescent="0.2">
      <c r="B15" s="16" t="s">
        <v>88</v>
      </c>
      <c r="C15" s="54">
        <v>0.2483688448809476</v>
      </c>
      <c r="D15" s="54">
        <v>0.2483688448809476</v>
      </c>
      <c r="E15" s="54">
        <v>0.2483688448809476</v>
      </c>
      <c r="F15" s="54">
        <v>0.2483688448809476</v>
      </c>
    </row>
    <row r="16" spans="1:8" ht="15.75" customHeight="1" x14ac:dyDescent="0.2">
      <c r="B16" s="16" t="s">
        <v>89</v>
      </c>
      <c r="C16" s="54">
        <v>2.808414447923846E-2</v>
      </c>
      <c r="D16" s="54">
        <v>2.808414447923846E-2</v>
      </c>
      <c r="E16" s="54">
        <v>2.808414447923846E-2</v>
      </c>
      <c r="F16" s="54">
        <v>2.808414447923846E-2</v>
      </c>
    </row>
    <row r="17" spans="1:8" ht="15.75" customHeight="1" x14ac:dyDescent="0.2">
      <c r="B17" s="16" t="s">
        <v>90</v>
      </c>
      <c r="C17" s="54">
        <v>4.2099766417168921E-3</v>
      </c>
      <c r="D17" s="54">
        <v>4.2099766417168921E-3</v>
      </c>
      <c r="E17" s="54">
        <v>4.2099766417168921E-3</v>
      </c>
      <c r="F17" s="54">
        <v>4.2099766417168921E-3</v>
      </c>
    </row>
    <row r="18" spans="1:8" ht="15.75" customHeight="1" x14ac:dyDescent="0.2">
      <c r="B18" s="16" t="s">
        <v>91</v>
      </c>
      <c r="C18" s="54">
        <v>1.366231204017103E-4</v>
      </c>
      <c r="D18" s="54">
        <v>1.366231204017103E-4</v>
      </c>
      <c r="E18" s="54">
        <v>1.366231204017103E-4</v>
      </c>
      <c r="F18" s="54">
        <v>1.366231204017103E-4</v>
      </c>
    </row>
    <row r="19" spans="1:8" ht="15.75" customHeight="1" x14ac:dyDescent="0.2">
      <c r="B19" s="16" t="s">
        <v>92</v>
      </c>
      <c r="C19" s="54">
        <v>6.6093018357983174E-2</v>
      </c>
      <c r="D19" s="54">
        <v>6.6093018357983174E-2</v>
      </c>
      <c r="E19" s="54">
        <v>6.6093018357983174E-2</v>
      </c>
      <c r="F19" s="54">
        <v>6.6093018357983174E-2</v>
      </c>
    </row>
    <row r="20" spans="1:8" ht="15.75" customHeight="1" x14ac:dyDescent="0.2">
      <c r="B20" s="16" t="s">
        <v>93</v>
      </c>
      <c r="C20" s="54">
        <v>2.9803458110209298E-3</v>
      </c>
      <c r="D20" s="54">
        <v>2.9803458110209298E-3</v>
      </c>
      <c r="E20" s="54">
        <v>2.9803458110209298E-3</v>
      </c>
      <c r="F20" s="54">
        <v>2.9803458110209298E-3</v>
      </c>
    </row>
    <row r="21" spans="1:8" ht="15.75" customHeight="1" x14ac:dyDescent="0.2">
      <c r="B21" s="16" t="s">
        <v>94</v>
      </c>
      <c r="C21" s="54">
        <v>0.1637747018867306</v>
      </c>
      <c r="D21" s="54">
        <v>0.1637747018867306</v>
      </c>
      <c r="E21" s="54">
        <v>0.1637747018867306</v>
      </c>
      <c r="F21" s="54">
        <v>0.1637747018867306</v>
      </c>
    </row>
    <row r="22" spans="1:8" ht="15.75" customHeight="1" x14ac:dyDescent="0.2">
      <c r="B22" s="16" t="s">
        <v>95</v>
      </c>
      <c r="C22" s="54">
        <v>0.33310540667998012</v>
      </c>
      <c r="D22" s="54">
        <v>0.33310540667998012</v>
      </c>
      <c r="E22" s="54">
        <v>0.33310540667998012</v>
      </c>
      <c r="F22" s="54">
        <v>0.33310540667998012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4.7500000000000001E-2</v>
      </c>
    </row>
    <row r="27" spans="1:8" ht="15.75" customHeight="1" x14ac:dyDescent="0.2">
      <c r="B27" s="16" t="s">
        <v>102</v>
      </c>
      <c r="C27" s="54">
        <v>1.04E-2</v>
      </c>
    </row>
    <row r="28" spans="1:8" ht="15.75" customHeight="1" x14ac:dyDescent="0.2">
      <c r="B28" s="16" t="s">
        <v>103</v>
      </c>
      <c r="C28" s="54">
        <v>0.1729</v>
      </c>
    </row>
    <row r="29" spans="1:8" ht="15.75" customHeight="1" x14ac:dyDescent="0.2">
      <c r="B29" s="16" t="s">
        <v>104</v>
      </c>
      <c r="C29" s="54">
        <v>0.15790000000000001</v>
      </c>
    </row>
    <row r="30" spans="1:8" ht="15.75" customHeight="1" x14ac:dyDescent="0.2">
      <c r="B30" s="16" t="s">
        <v>2</v>
      </c>
      <c r="C30" s="54">
        <v>5.5800000000000002E-2</v>
      </c>
    </row>
    <row r="31" spans="1:8" ht="15.75" customHeight="1" x14ac:dyDescent="0.2">
      <c r="B31" s="16" t="s">
        <v>105</v>
      </c>
      <c r="C31" s="54">
        <v>6.3200000000000006E-2</v>
      </c>
    </row>
    <row r="32" spans="1:8" ht="15.75" customHeight="1" x14ac:dyDescent="0.2">
      <c r="B32" s="16" t="s">
        <v>106</v>
      </c>
      <c r="C32" s="54">
        <v>1.01E-2</v>
      </c>
    </row>
    <row r="33" spans="2:3" ht="15.75" customHeight="1" x14ac:dyDescent="0.2">
      <c r="B33" s="16" t="s">
        <v>107</v>
      </c>
      <c r="C33" s="54">
        <v>0.16550000000000001</v>
      </c>
    </row>
    <row r="34" spans="2:3" ht="15.75" customHeight="1" x14ac:dyDescent="0.2">
      <c r="B34" s="16" t="s">
        <v>108</v>
      </c>
      <c r="C34" s="54">
        <v>0.31670000000223519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rS08ahUsDocnOP0KhEIsPTiL2so190ff+bJtPWLo0/tbjicC8/UvfKe4AGHTkyxGaYWg1ql6o5h+9ncM43GbAQ==" saltValue="IzPoxhoJOEGrSW6c/7dv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0.66560874999999997</v>
      </c>
      <c r="D2" s="55">
        <v>0.66560874999999997</v>
      </c>
      <c r="E2" s="55">
        <v>0.59198421000000001</v>
      </c>
      <c r="F2" s="55">
        <v>0.38271094999999999</v>
      </c>
      <c r="G2" s="55">
        <v>0.33235785999999989</v>
      </c>
    </row>
    <row r="3" spans="1:15" ht="15.75" customHeight="1" x14ac:dyDescent="0.2">
      <c r="B3" s="7" t="s">
        <v>113</v>
      </c>
      <c r="C3" s="55">
        <v>0.22277447</v>
      </c>
      <c r="D3" s="55">
        <v>0.22277447</v>
      </c>
      <c r="E3" s="55">
        <v>0.22230452000000001</v>
      </c>
      <c r="F3" s="55">
        <v>0.27656466000000002</v>
      </c>
      <c r="G3" s="55">
        <v>0.31155071000000001</v>
      </c>
    </row>
    <row r="4" spans="1:15" ht="15.75" customHeight="1" x14ac:dyDescent="0.2">
      <c r="B4" s="7" t="s">
        <v>114</v>
      </c>
      <c r="C4" s="56">
        <v>5.3734197999999997E-2</v>
      </c>
      <c r="D4" s="56">
        <v>5.3734197999999997E-2</v>
      </c>
      <c r="E4" s="56">
        <v>0.11594678999999999</v>
      </c>
      <c r="F4" s="56">
        <v>0.21983448</v>
      </c>
      <c r="G4" s="56">
        <v>0.22190624</v>
      </c>
    </row>
    <row r="5" spans="1:15" ht="15.75" customHeight="1" x14ac:dyDescent="0.2">
      <c r="B5" s="7" t="s">
        <v>115</v>
      </c>
      <c r="C5" s="56">
        <v>5.7882571000000001E-2</v>
      </c>
      <c r="D5" s="56">
        <v>5.7882571000000001E-2</v>
      </c>
      <c r="E5" s="56">
        <v>6.9764485000000001E-2</v>
      </c>
      <c r="F5" s="56">
        <v>0.12088991</v>
      </c>
      <c r="G5" s="56">
        <v>0.1341852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0.62377349999999998</v>
      </c>
      <c r="D8" s="55">
        <v>0.62377349999999998</v>
      </c>
      <c r="E8" s="55">
        <v>0.60212505000000005</v>
      </c>
      <c r="F8" s="55">
        <v>0.60629147000000005</v>
      </c>
      <c r="G8" s="55">
        <v>0.62511368</v>
      </c>
    </row>
    <row r="9" spans="1:15" ht="15.75" customHeight="1" x14ac:dyDescent="0.2">
      <c r="B9" s="7" t="s">
        <v>118</v>
      </c>
      <c r="C9" s="55">
        <v>0.21889553</v>
      </c>
      <c r="D9" s="55">
        <v>0.21889553</v>
      </c>
      <c r="E9" s="55">
        <v>0.24641826999999999</v>
      </c>
      <c r="F9" s="55">
        <v>0.24972031</v>
      </c>
      <c r="G9" s="55">
        <v>0.27287027000000003</v>
      </c>
    </row>
    <row r="10" spans="1:15" ht="15.75" customHeight="1" x14ac:dyDescent="0.2">
      <c r="B10" s="7" t="s">
        <v>119</v>
      </c>
      <c r="C10" s="56">
        <v>0.11014122</v>
      </c>
      <c r="D10" s="56">
        <v>0.11014122</v>
      </c>
      <c r="E10" s="56">
        <v>0.10288551999999999</v>
      </c>
      <c r="F10" s="56">
        <v>0.10707898</v>
      </c>
      <c r="G10" s="56">
        <v>8.0517721000000014E-2</v>
      </c>
    </row>
    <row r="11" spans="1:15" ht="15.75" customHeight="1" x14ac:dyDescent="0.2">
      <c r="B11" s="7" t="s">
        <v>120</v>
      </c>
      <c r="C11" s="56">
        <v>4.7189736000000003E-2</v>
      </c>
      <c r="D11" s="56">
        <v>4.7189736000000003E-2</v>
      </c>
      <c r="E11" s="56">
        <v>4.8571147999999988E-2</v>
      </c>
      <c r="F11" s="56">
        <v>3.6909244000000001E-2</v>
      </c>
      <c r="G11" s="56">
        <v>2.1498339000000002E-2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0.82497910925000018</v>
      </c>
      <c r="D14" s="57">
        <v>0.80162762072500005</v>
      </c>
      <c r="E14" s="57">
        <v>0.80162762072500005</v>
      </c>
      <c r="F14" s="57">
        <v>0.47399307269000007</v>
      </c>
      <c r="G14" s="57">
        <v>0.47399307269000007</v>
      </c>
      <c r="H14" s="58">
        <v>0.82499999999999996</v>
      </c>
      <c r="I14" s="58">
        <v>0.4915686274509804</v>
      </c>
      <c r="J14" s="58">
        <v>0.48142156862745111</v>
      </c>
      <c r="K14" s="58">
        <v>0.44647058823529412</v>
      </c>
      <c r="L14" s="58">
        <v>0.33016430245400002</v>
      </c>
      <c r="M14" s="58">
        <v>0.2663876566435</v>
      </c>
      <c r="N14" s="58">
        <v>0.23989888624700001</v>
      </c>
      <c r="O14" s="58">
        <v>0.23997561901299999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0.42251225218715377</v>
      </c>
      <c r="D15" s="55">
        <f t="shared" si="0"/>
        <v>0.41055280994431947</v>
      </c>
      <c r="E15" s="55">
        <f t="shared" si="0"/>
        <v>0.41055280994431947</v>
      </c>
      <c r="F15" s="55">
        <f t="shared" si="0"/>
        <v>0.24275509333251785</v>
      </c>
      <c r="G15" s="55">
        <f t="shared" si="0"/>
        <v>0.24275509333251785</v>
      </c>
      <c r="H15" s="55">
        <f t="shared" si="0"/>
        <v>0.42252295136454304</v>
      </c>
      <c r="I15" s="55">
        <f t="shared" si="0"/>
        <v>0.25175639668946154</v>
      </c>
      <c r="J15" s="55">
        <f t="shared" si="0"/>
        <v>0.24655959033578007</v>
      </c>
      <c r="K15" s="55">
        <f t="shared" si="0"/>
        <v>0.22865947956198801</v>
      </c>
      <c r="L15" s="55">
        <f t="shared" si="0"/>
        <v>0.1690933278885815</v>
      </c>
      <c r="M15" s="55">
        <f t="shared" si="0"/>
        <v>0.13643018047526806</v>
      </c>
      <c r="N15" s="55">
        <f t="shared" si="0"/>
        <v>0.12286398235896877</v>
      </c>
      <c r="O15" s="55">
        <f t="shared" si="0"/>
        <v>0.12290328097079505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I8kVqYJy8AjFj4VOZEQPTezupY03/Rj2kT51r+8k81cc59e1BP3NOm6eNw26mukKjFHVpEC/SOV8Q/DbwQ/O7w==" saltValue="QSm/VvAfwZVv4CVhQKKG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0.83068748469999998</v>
      </c>
      <c r="D2" s="56">
        <v>0.58612727999999992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5.4924544999999998E-2</v>
      </c>
      <c r="D3" s="56">
        <v>0.18740947999999999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9.7029933999999998E-2</v>
      </c>
      <c r="D4" s="56">
        <v>0.20758251</v>
      </c>
      <c r="E4" s="56">
        <v>0.98748785257339511</v>
      </c>
      <c r="F4" s="56">
        <v>0.93983435630798295</v>
      </c>
      <c r="G4" s="56">
        <v>0</v>
      </c>
    </row>
    <row r="5" spans="1:7" x14ac:dyDescent="0.2">
      <c r="B5" s="98" t="s">
        <v>132</v>
      </c>
      <c r="C5" s="55">
        <v>1.7358036300000101E-2</v>
      </c>
      <c r="D5" s="55">
        <v>1.8880730000000099E-2</v>
      </c>
      <c r="E5" s="55">
        <v>1.251214742660494E-2</v>
      </c>
      <c r="F5" s="55">
        <v>6.0165643692017018E-2</v>
      </c>
      <c r="G5" s="55">
        <v>1</v>
      </c>
    </row>
  </sheetData>
  <sheetProtection algorithmName="SHA-512" hashValue="wn8H1R9nzRCuKKOK4pO1TwMFdVaB6K0PTVHPlu2F9i+TQjmK1Qup0osfDfml+R6RzXBQch0RaYtrIO2iDNMMFA==" saltValue="/OYRKLz2FdXA2BVOQzTcU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3qhf2ikpcZEvFwbO6PQWzCS40y2WSRiANd0cMoa67ZkrKgLDxEwYkJtu2nWfXavbWRcyF1bKkmfEIgGmlPydtw==" saltValue="b5kY7CG3sEMkUR/ZkDfJ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0yCksGac/BgTRoGysB/R3oifyH79JFiQVIJJsWMqLSg4PHJqs0dVjoXusYWxZXLV+uBEaEGxRWszYXZ3VMCiqQ==" saltValue="BEA2CXkYddnGxyLlyttKD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mdSanbMLapeD0A+TKs4NsKL1jNhwje/0dKIHStj5krpv0NJd6gaSDWPWT2K7MrTDwGyuDkLV48yqlyPjOWCi+g==" saltValue="nAFBaAbisw/1n/htOdRYI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WE1IfRnlvCRE/li8gPcYpxjl+n4FeAYfFOHeH9dwK9yJl3H161DuHwRfgIyWfvdm/5IVdT2YIOMQzHLbi3USKA==" saltValue="rCyEUDnSwqdJgVgDV3cr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2022-02-02T07:57:58Z</dcterms:modified>
</cp:coreProperties>
</file>