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ck.scott\Desktop\GitHub\Nutrition\inputs\fr\LiST countries\"/>
    </mc:Choice>
  </mc:AlternateContent>
  <xr:revisionPtr revIDLastSave="0" documentId="8_{6D18EE83-8DCC-417B-B564-FA513DB5B871}" xr6:coauthVersionLast="47" xr6:coauthVersionMax="47" xr10:uidLastSave="{00000000-0000-0000-0000-000000000000}"/>
  <bookViews>
    <workbookView xWindow="255" yWindow="285" windowWidth="28770" windowHeight="15420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G40" i="2"/>
  <c r="I40" i="2" s="1"/>
  <c r="H39" i="2"/>
  <c r="G39" i="2"/>
  <c r="H38" i="2"/>
  <c r="G38" i="2"/>
  <c r="H11" i="2"/>
  <c r="G11" i="2"/>
  <c r="H10" i="2"/>
  <c r="G10" i="2"/>
  <c r="I10" i="2" s="1"/>
  <c r="H9" i="2"/>
  <c r="G9" i="2"/>
  <c r="H8" i="2"/>
  <c r="G8" i="2"/>
  <c r="H7" i="2"/>
  <c r="G7" i="2"/>
  <c r="H6" i="2"/>
  <c r="G6" i="2"/>
  <c r="I6" i="2" s="1"/>
  <c r="H5" i="2"/>
  <c r="G5" i="2"/>
  <c r="H4" i="2"/>
  <c r="G4" i="2"/>
  <c r="H3" i="2"/>
  <c r="G3" i="2"/>
  <c r="H2" i="2"/>
  <c r="G2" i="2"/>
  <c r="I2" i="2" s="1"/>
  <c r="A2" i="2"/>
  <c r="A32" i="2" s="1"/>
  <c r="C33" i="1"/>
  <c r="C20" i="1"/>
  <c r="A33" i="2" l="1"/>
  <c r="A34" i="2"/>
  <c r="I38" i="2"/>
  <c r="I3" i="2"/>
  <c r="I7" i="2"/>
  <c r="I11" i="2"/>
  <c r="I4" i="2"/>
  <c r="I8" i="2"/>
  <c r="A17" i="2"/>
  <c r="A18" i="2"/>
  <c r="A39" i="2"/>
  <c r="I5" i="2"/>
  <c r="I9" i="2"/>
  <c r="A25" i="2"/>
  <c r="I39" i="2"/>
  <c r="A26" i="2"/>
  <c r="A19" i="2"/>
  <c r="A27" i="2"/>
  <c r="A35" i="2"/>
  <c r="A22" i="2"/>
  <c r="A40" i="2"/>
  <c r="D58" i="20"/>
  <c r="A29" i="2"/>
  <c r="A30" i="2"/>
  <c r="A15" i="2"/>
  <c r="A23" i="2"/>
  <c r="A31" i="2"/>
  <c r="A12" i="2"/>
  <c r="A20" i="2"/>
  <c r="A28" i="2"/>
  <c r="A36" i="2"/>
  <c r="A13" i="2"/>
  <c r="A21" i="2"/>
  <c r="A37" i="2"/>
  <c r="A14" i="2"/>
  <c r="A38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<sst xmlns="http://schemas.openxmlformats.org/spreadsheetml/2006/main" count="2092" uniqueCount="337">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</sst>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13</v>
      </c>
      <c r="B1" s="27" t="s">
        <v>0</v>
      </c>
      <c r="C1" s="27" t="s">
        <v>66</v>
      </c>
    </row>
    <row r="2" spans="1:3" ht="15.95" customHeight="1" x14ac:dyDescent="0.2">
      <c r="A2" s="113" t="s">
        <v>14</v>
      </c>
      <c r="B2" s="27"/>
      <c r="C2" s="27"/>
    </row>
    <row r="3" spans="1:3" ht="15.95" customHeight="1" x14ac:dyDescent="0.2">
      <c r="A3" s="1"/>
      <c r="B3" s="7" t="s">
        <v>15</v>
      </c>
      <c r="C3" s="43">
        <v>2021</v>
      </c>
    </row>
    <row r="4" spans="1:3" ht="15.95" customHeight="1" x14ac:dyDescent="0.2">
      <c r="A4" s="1"/>
      <c r="B4" s="7" t="s">
        <v>16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17</v>
      </c>
    </row>
    <row r="7" spans="1:3" ht="15" customHeight="1" x14ac:dyDescent="0.2">
      <c r="B7" s="28" t="s">
        <v>18</v>
      </c>
      <c r="C7" s="45">
        <v>10756078.625</v>
      </c>
    </row>
    <row r="8" spans="1:3" ht="15" customHeight="1" x14ac:dyDescent="0.2">
      <c r="B8" s="7" t="s">
        <v>19</v>
      </c>
      <c r="C8" s="46">
        <v>0.216</v>
      </c>
    </row>
    <row r="9" spans="1:3" ht="15" customHeight="1" x14ac:dyDescent="0.2">
      <c r="B9" s="7" t="s">
        <v>20</v>
      </c>
      <c r="C9" s="47">
        <v>1.24E-2</v>
      </c>
    </row>
    <row r="10" spans="1:3" ht="15" customHeight="1" x14ac:dyDescent="0.2">
      <c r="B10" s="7" t="s">
        <v>21</v>
      </c>
      <c r="C10" s="47">
        <v>0.71803596496582001</v>
      </c>
    </row>
    <row r="11" spans="1:3" ht="15" customHeight="1" x14ac:dyDescent="0.2">
      <c r="B11" s="7" t="s">
        <v>22</v>
      </c>
      <c r="C11" s="46">
        <v>0.84299999999999997</v>
      </c>
    </row>
    <row r="12" spans="1:3" ht="15" customHeight="1" x14ac:dyDescent="0.2">
      <c r="B12" s="7" t="s">
        <v>23</v>
      </c>
      <c r="C12" s="46">
        <v>0.64</v>
      </c>
    </row>
    <row r="13" spans="1:3" ht="15" customHeight="1" x14ac:dyDescent="0.2">
      <c r="B13" s="7" t="s">
        <v>24</v>
      </c>
      <c r="C13" s="46">
        <v>0.48499999999999999</v>
      </c>
    </row>
    <row r="14" spans="1:3" ht="15" customHeight="1" x14ac:dyDescent="0.2">
      <c r="B14" s="113"/>
    </row>
    <row r="15" spans="1:3" ht="15" customHeight="1" x14ac:dyDescent="0.2">
      <c r="A15" s="113" t="s">
        <v>25</v>
      </c>
      <c r="B15" s="11"/>
      <c r="C15" s="4"/>
    </row>
    <row r="16" spans="1:3" ht="15" customHeight="1" x14ac:dyDescent="0.2">
      <c r="B16" s="7" t="s">
        <v>26</v>
      </c>
      <c r="C16" s="47">
        <v>0.1</v>
      </c>
    </row>
    <row r="17" spans="1:3" ht="15" customHeight="1" x14ac:dyDescent="0.2">
      <c r="B17" s="7" t="s">
        <v>27</v>
      </c>
      <c r="C17" s="47">
        <v>0.1</v>
      </c>
    </row>
    <row r="18" spans="1:3" ht="15" customHeight="1" x14ac:dyDescent="0.2">
      <c r="B18" s="7" t="s">
        <v>28</v>
      </c>
      <c r="C18" s="47">
        <v>0.1</v>
      </c>
    </row>
    <row r="19" spans="1:3" ht="15" customHeight="1" x14ac:dyDescent="0.2">
      <c r="B19" s="7" t="s">
        <v>29</v>
      </c>
      <c r="C19" s="47">
        <v>0.1</v>
      </c>
    </row>
    <row r="20" spans="1:3" ht="15" customHeight="1" x14ac:dyDescent="0.2">
      <c r="B20" s="7" t="s">
        <v>30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31</v>
      </c>
    </row>
    <row r="23" spans="1:3" ht="15" customHeight="1" x14ac:dyDescent="0.2">
      <c r="B23" s="12" t="s">
        <v>32</v>
      </c>
      <c r="C23" s="47">
        <v>0.11020000000000001</v>
      </c>
    </row>
    <row r="24" spans="1:3" ht="15" customHeight="1" x14ac:dyDescent="0.2">
      <c r="B24" s="12" t="s">
        <v>33</v>
      </c>
      <c r="C24" s="47">
        <v>0.46769999999999989</v>
      </c>
    </row>
    <row r="25" spans="1:3" ht="15" customHeight="1" x14ac:dyDescent="0.2">
      <c r="B25" s="12" t="s">
        <v>34</v>
      </c>
      <c r="C25" s="47">
        <v>0.34789999999999999</v>
      </c>
    </row>
    <row r="26" spans="1:3" ht="15" customHeight="1" x14ac:dyDescent="0.2">
      <c r="B26" s="12" t="s">
        <v>35</v>
      </c>
      <c r="C26" s="47">
        <v>7.4200000000000002E-2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36</v>
      </c>
      <c r="B28" s="12"/>
      <c r="C28" s="12"/>
    </row>
    <row r="29" spans="1:3" ht="14.25" customHeight="1" x14ac:dyDescent="0.2">
      <c r="B29" s="22" t="s">
        <v>37</v>
      </c>
      <c r="C29" s="49">
        <v>0.29599999999999999</v>
      </c>
    </row>
    <row r="30" spans="1:3" ht="14.25" customHeight="1" x14ac:dyDescent="0.2">
      <c r="B30" s="22" t="s">
        <v>38</v>
      </c>
      <c r="C30" s="49">
        <v>9.6999999999999989E-2</v>
      </c>
    </row>
    <row r="31" spans="1:3" ht="14.25" customHeight="1" x14ac:dyDescent="0.2">
      <c r="B31" s="22" t="s">
        <v>39</v>
      </c>
      <c r="C31" s="49">
        <v>0.13300000000000001</v>
      </c>
    </row>
    <row r="32" spans="1:3" ht="14.25" customHeight="1" x14ac:dyDescent="0.2">
      <c r="B32" s="22" t="s">
        <v>40</v>
      </c>
      <c r="C32" s="49">
        <v>0.47399999999999998</v>
      </c>
    </row>
    <row r="33" spans="1:5" ht="13.15" customHeight="1" x14ac:dyDescent="0.2">
      <c r="B33" s="24" t="s">
        <v>41</v>
      </c>
      <c r="C33" s="50">
        <f>SUM(C29:C32)</f>
        <v>1</v>
      </c>
    </row>
    <row r="34" spans="1:5" ht="15" customHeight="1" x14ac:dyDescent="0.2"/>
    <row r="35" spans="1:5" ht="15" customHeight="1" x14ac:dyDescent="0.2">
      <c r="A35" s="39" t="s">
        <v>42</v>
      </c>
    </row>
    <row r="36" spans="1:5" ht="15" customHeight="1" x14ac:dyDescent="0.2">
      <c r="A36" s="113" t="s">
        <v>43</v>
      </c>
      <c r="B36" s="7"/>
    </row>
    <row r="37" spans="1:5" ht="15" customHeight="1" x14ac:dyDescent="0.2">
      <c r="B37" s="28" t="s">
        <v>44</v>
      </c>
      <c r="C37" s="117">
        <v>13.2875297972992</v>
      </c>
    </row>
    <row r="38" spans="1:5" ht="15" customHeight="1" x14ac:dyDescent="0.2">
      <c r="B38" s="28" t="s">
        <v>45</v>
      </c>
      <c r="C38" s="117">
        <v>21.633118872448499</v>
      </c>
      <c r="D38" s="9"/>
      <c r="E38" s="10"/>
    </row>
    <row r="39" spans="1:5" ht="15" customHeight="1" x14ac:dyDescent="0.2">
      <c r="B39" s="28" t="s">
        <v>46</v>
      </c>
      <c r="C39" s="117">
        <v>27.278294861236098</v>
      </c>
      <c r="D39" s="9"/>
      <c r="E39" s="9"/>
    </row>
    <row r="40" spans="1:5" ht="15" customHeight="1" x14ac:dyDescent="0.2">
      <c r="B40" s="28" t="s">
        <v>47</v>
      </c>
      <c r="C40" s="117">
        <v>121</v>
      </c>
    </row>
    <row r="41" spans="1:5" ht="15" customHeight="1" x14ac:dyDescent="0.2">
      <c r="B41" s="28" t="s">
        <v>48</v>
      </c>
      <c r="C41" s="118">
        <v>4.5999999999999999E-2</v>
      </c>
    </row>
    <row r="42" spans="1:5" ht="15" customHeight="1" x14ac:dyDescent="0.2">
      <c r="B42" s="28" t="s">
        <v>49</v>
      </c>
      <c r="C42" s="117">
        <v>10.41556578</v>
      </c>
    </row>
    <row r="43" spans="1:5" ht="15.75" customHeight="1" x14ac:dyDescent="0.2">
      <c r="D43" s="9"/>
    </row>
    <row r="44" spans="1:5" ht="15.75" customHeight="1" x14ac:dyDescent="0.2">
      <c r="A44" s="113" t="s">
        <v>50</v>
      </c>
      <c r="D44" s="9"/>
    </row>
    <row r="45" spans="1:5" ht="15.75" customHeight="1" x14ac:dyDescent="0.2">
      <c r="B45" s="28" t="s">
        <v>51</v>
      </c>
      <c r="C45" s="47">
        <v>3.3184600000000002E-2</v>
      </c>
      <c r="D45" s="9"/>
    </row>
    <row r="46" spans="1:5" ht="15.75" customHeight="1" x14ac:dyDescent="0.2">
      <c r="B46" s="28" t="s">
        <v>52</v>
      </c>
      <c r="C46" s="47">
        <v>0.1156413</v>
      </c>
      <c r="D46" s="9"/>
    </row>
    <row r="47" spans="1:5" ht="15.75" customHeight="1" x14ac:dyDescent="0.2">
      <c r="B47" s="28" t="s">
        <v>53</v>
      </c>
      <c r="C47" s="47">
        <v>0.30239460000000001</v>
      </c>
      <c r="D47" s="9"/>
      <c r="E47" s="10"/>
    </row>
    <row r="48" spans="1:5" ht="15" customHeight="1" x14ac:dyDescent="0.2">
      <c r="B48" s="28" t="s">
        <v>54</v>
      </c>
      <c r="C48" s="48">
        <v>0.54877949999999998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55</v>
      </c>
      <c r="D50" s="9"/>
    </row>
    <row r="51" spans="1:4" ht="15.75" customHeight="1" x14ac:dyDescent="0.2">
      <c r="B51" s="28" t="s">
        <v>56</v>
      </c>
      <c r="C51" s="51">
        <v>2.2000000000000002</v>
      </c>
      <c r="D51" s="9"/>
    </row>
    <row r="52" spans="1:4" ht="15" customHeight="1" x14ac:dyDescent="0.2">
      <c r="B52" s="28" t="s">
        <v>57</v>
      </c>
      <c r="C52" s="51">
        <v>2.2000000000000002</v>
      </c>
    </row>
    <row r="53" spans="1:4" ht="15.75" customHeight="1" x14ac:dyDescent="0.2">
      <c r="B53" s="28" t="s">
        <v>58</v>
      </c>
      <c r="C53" s="51">
        <v>2.2000000000000002</v>
      </c>
    </row>
    <row r="54" spans="1:4" ht="15.75" customHeight="1" x14ac:dyDescent="0.2">
      <c r="B54" s="28" t="s">
        <v>59</v>
      </c>
      <c r="C54" s="51">
        <v>2.2000000000000002</v>
      </c>
    </row>
    <row r="55" spans="1:4" ht="15.75" customHeight="1" x14ac:dyDescent="0.2">
      <c r="B55" s="28" t="s">
        <v>60</v>
      </c>
      <c r="C55" s="51">
        <v>2.2000000000000002</v>
      </c>
    </row>
    <row r="57" spans="1:4" ht="15.75" customHeight="1" x14ac:dyDescent="0.2">
      <c r="A57" s="113" t="s">
        <v>61</v>
      </c>
    </row>
    <row r="58" spans="1:4" ht="15.75" customHeight="1" x14ac:dyDescent="0.2">
      <c r="B58" s="7" t="s">
        <v>62</v>
      </c>
      <c r="C58" s="46">
        <v>2.1459227467811159E-2</v>
      </c>
    </row>
    <row r="59" spans="1:4" ht="15.75" customHeight="1" x14ac:dyDescent="0.2">
      <c r="B59" s="28" t="s">
        <v>63</v>
      </c>
      <c r="C59" s="46">
        <v>0.51323135029597089</v>
      </c>
    </row>
    <row r="60" spans="1:4" ht="15.75" customHeight="1" x14ac:dyDescent="0.2">
      <c r="B60" s="28" t="s">
        <v>64</v>
      </c>
      <c r="C60" s="46">
        <v>4.5999999999999999E-2</v>
      </c>
    </row>
    <row r="61" spans="1:4" ht="15.75" customHeight="1" x14ac:dyDescent="0.2">
      <c r="B61" s="28" t="s">
        <v>65</v>
      </c>
      <c r="C61" s="46">
        <v>1.4E-2</v>
      </c>
    </row>
    <row r="62" spans="1:4" ht="15.75" customHeight="1" x14ac:dyDescent="0.2">
      <c r="B62" s="28" t="s">
        <v>67</v>
      </c>
      <c r="C62" s="119">
        <v>20.147881000000002</v>
      </c>
    </row>
    <row r="63" spans="1:4" ht="15.75" customHeight="1" x14ac:dyDescent="0.2">
      <c r="A63" s="39"/>
    </row>
  </sheetData>
  <sheetProtection algorithmName="SHA-512" hashValue="fkLT/pvIXVg+y9hAYHOgN0Hta557t7b9iGxQ/LQL8qIg1vxrRpVWigkhbjeEEUEFWkkRV7nQHypSU7ePw5mc1Q==" saltValue="0FmWHz5ngN8puYMFQkXSM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">
      <c r="A2" s="7">
        <f>start_year</f>
        <v>2021</v>
      </c>
      <c r="B2" s="52">
        <v>2447463.9276000001</v>
      </c>
      <c r="C2" s="53">
        <v>5039000</v>
      </c>
      <c r="D2" s="53">
        <v>9611000</v>
      </c>
      <c r="E2" s="53">
        <v>1264000</v>
      </c>
      <c r="F2" s="53">
        <v>1464000</v>
      </c>
      <c r="G2" s="14">
        <f t="shared" ref="G2:G11" si="0">C2+D2+E2+F2</f>
        <v>17378000</v>
      </c>
      <c r="H2" s="14">
        <f t="shared" ref="H2:H11" si="1">(B2 + stillbirth*B2/(1000-stillbirth))/(1-abortion)</f>
        <v>2592477.9396075211</v>
      </c>
      <c r="I2" s="14">
        <f t="shared" ref="I2:I11" si="2">G2-H2</f>
        <v>14785522.060392478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2453857.2288000002</v>
      </c>
      <c r="C3" s="53">
        <v>5089000</v>
      </c>
      <c r="D3" s="53">
        <v>9660000</v>
      </c>
      <c r="E3" s="53">
        <v>1250000</v>
      </c>
      <c r="F3" s="53">
        <v>1434000</v>
      </c>
      <c r="G3" s="14">
        <f t="shared" si="0"/>
        <v>17433000</v>
      </c>
      <c r="H3" s="14">
        <f t="shared" si="1"/>
        <v>2599250.048538466</v>
      </c>
      <c r="I3" s="14">
        <f t="shared" si="2"/>
        <v>14833749.951461535</v>
      </c>
    </row>
    <row r="4" spans="1:9" ht="15.75" customHeight="1" x14ac:dyDescent="0.2">
      <c r="A4" s="7">
        <f t="shared" si="3"/>
        <v>2023</v>
      </c>
      <c r="B4" s="52">
        <v>2459349.7612000001</v>
      </c>
      <c r="C4" s="53">
        <v>5149000</v>
      </c>
      <c r="D4" s="53">
        <v>9693000</v>
      </c>
      <c r="E4" s="53">
        <v>1236000</v>
      </c>
      <c r="F4" s="53">
        <v>1401000</v>
      </c>
      <c r="G4" s="14">
        <f t="shared" si="0"/>
        <v>17479000</v>
      </c>
      <c r="H4" s="14">
        <f t="shared" si="1"/>
        <v>2605068.0174649958</v>
      </c>
      <c r="I4" s="14">
        <f t="shared" si="2"/>
        <v>14873931.982535005</v>
      </c>
    </row>
    <row r="5" spans="1:9" ht="15.75" customHeight="1" x14ac:dyDescent="0.2">
      <c r="A5" s="7">
        <f t="shared" si="3"/>
        <v>2024</v>
      </c>
      <c r="B5" s="52">
        <v>2463902.1327999998</v>
      </c>
      <c r="C5" s="53">
        <v>5209000</v>
      </c>
      <c r="D5" s="53">
        <v>9722000</v>
      </c>
      <c r="E5" s="53">
        <v>1217000</v>
      </c>
      <c r="F5" s="53">
        <v>1370000</v>
      </c>
      <c r="G5" s="14">
        <f t="shared" si="0"/>
        <v>17518000</v>
      </c>
      <c r="H5" s="14">
        <f t="shared" si="1"/>
        <v>2609890.1203825525</v>
      </c>
      <c r="I5" s="14">
        <f t="shared" si="2"/>
        <v>14908109.879617447</v>
      </c>
    </row>
    <row r="6" spans="1:9" ht="15.75" customHeight="1" x14ac:dyDescent="0.2">
      <c r="A6" s="7">
        <f t="shared" si="3"/>
        <v>2025</v>
      </c>
      <c r="B6" s="52">
        <v>2467435.0499999998</v>
      </c>
      <c r="C6" s="53">
        <v>5265000</v>
      </c>
      <c r="D6" s="53">
        <v>9761000</v>
      </c>
      <c r="E6" s="53">
        <v>1193000</v>
      </c>
      <c r="F6" s="53">
        <v>1343000</v>
      </c>
      <c r="G6" s="14">
        <f t="shared" si="0"/>
        <v>17562000</v>
      </c>
      <c r="H6" s="14">
        <f t="shared" si="1"/>
        <v>2613632.3654878531</v>
      </c>
      <c r="I6" s="14">
        <f t="shared" si="2"/>
        <v>14948367.634512147</v>
      </c>
    </row>
    <row r="7" spans="1:9" ht="15.75" customHeight="1" x14ac:dyDescent="0.2">
      <c r="A7" s="7">
        <f t="shared" si="3"/>
        <v>2026</v>
      </c>
      <c r="B7" s="52">
        <v>2472057.7889999999</v>
      </c>
      <c r="C7" s="53">
        <v>5316000</v>
      </c>
      <c r="D7" s="53">
        <v>9814000</v>
      </c>
      <c r="E7" s="53">
        <v>1162000</v>
      </c>
      <c r="F7" s="53">
        <v>1318000</v>
      </c>
      <c r="G7" s="14">
        <f t="shared" si="0"/>
        <v>17610000</v>
      </c>
      <c r="H7" s="14">
        <f t="shared" si="1"/>
        <v>2618529.005124873</v>
      </c>
      <c r="I7" s="14">
        <f t="shared" si="2"/>
        <v>14991470.994875127</v>
      </c>
    </row>
    <row r="8" spans="1:9" ht="15.75" customHeight="1" x14ac:dyDescent="0.2">
      <c r="A8" s="7">
        <f t="shared" si="3"/>
        <v>2027</v>
      </c>
      <c r="B8" s="52">
        <v>2475670.8480000012</v>
      </c>
      <c r="C8" s="53">
        <v>5362000</v>
      </c>
      <c r="D8" s="53">
        <v>9874000</v>
      </c>
      <c r="E8" s="53">
        <v>1125000</v>
      </c>
      <c r="F8" s="53">
        <v>1298000</v>
      </c>
      <c r="G8" s="14">
        <f t="shared" si="0"/>
        <v>17659000</v>
      </c>
      <c r="H8" s="14">
        <f t="shared" si="1"/>
        <v>2622356.1404899238</v>
      </c>
      <c r="I8" s="14">
        <f t="shared" si="2"/>
        <v>15036643.859510075</v>
      </c>
    </row>
    <row r="9" spans="1:9" ht="15.75" customHeight="1" x14ac:dyDescent="0.2">
      <c r="A9" s="7">
        <f t="shared" si="3"/>
        <v>2028</v>
      </c>
      <c r="B9" s="52">
        <v>2478303.7289999998</v>
      </c>
      <c r="C9" s="53">
        <v>5405000</v>
      </c>
      <c r="D9" s="53">
        <v>9942000</v>
      </c>
      <c r="E9" s="53">
        <v>1086000</v>
      </c>
      <c r="F9" s="53">
        <v>1281000</v>
      </c>
      <c r="G9" s="14">
        <f t="shared" si="0"/>
        <v>17714000</v>
      </c>
      <c r="H9" s="14">
        <f t="shared" si="1"/>
        <v>2625145.0215978888</v>
      </c>
      <c r="I9" s="14">
        <f t="shared" si="2"/>
        <v>15088854.978402112</v>
      </c>
    </row>
    <row r="10" spans="1:9" ht="15.75" customHeight="1" x14ac:dyDescent="0.2">
      <c r="A10" s="7">
        <f t="shared" si="3"/>
        <v>2029</v>
      </c>
      <c r="B10" s="52">
        <v>2479924.92</v>
      </c>
      <c r="C10" s="53">
        <v>5446000</v>
      </c>
      <c r="D10" s="53">
        <v>10016000</v>
      </c>
      <c r="E10" s="53">
        <v>1050000</v>
      </c>
      <c r="F10" s="53">
        <v>1266000</v>
      </c>
      <c r="G10" s="14">
        <f t="shared" si="0"/>
        <v>17778000</v>
      </c>
      <c r="H10" s="14">
        <f t="shared" si="1"/>
        <v>2626862.2693399265</v>
      </c>
      <c r="I10" s="14">
        <f t="shared" si="2"/>
        <v>15151137.730660073</v>
      </c>
    </row>
    <row r="11" spans="1:9" ht="15.75" customHeight="1" x14ac:dyDescent="0.2">
      <c r="A11" s="7">
        <f t="shared" si="3"/>
        <v>2030</v>
      </c>
      <c r="B11" s="52">
        <v>2480485.02</v>
      </c>
      <c r="C11" s="53">
        <v>5488000</v>
      </c>
      <c r="D11" s="53">
        <v>10096000</v>
      </c>
      <c r="E11" s="53">
        <v>1022000</v>
      </c>
      <c r="F11" s="53">
        <v>1251000</v>
      </c>
      <c r="G11" s="14">
        <f t="shared" si="0"/>
        <v>17857000</v>
      </c>
      <c r="H11" s="14">
        <f t="shared" si="1"/>
        <v>2627455.5556709729</v>
      </c>
      <c r="I11" s="14">
        <f t="shared" si="2"/>
        <v>15229544.444329027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91i4We+9321cN+coqmHAcPoJbYvOLVaxet2QmqJR508qfQou7EKsnRGFOF4qiBhGlzPKX5W5H61wcqDsASD+Fg==" saltValue="550DuskTZcV+NBom75LL7Q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">
      <c r="B3" s="16" t="s">
        <v>78</v>
      </c>
      <c r="C3" s="54">
        <v>4.923517598546456E-3</v>
      </c>
    </row>
    <row r="4" spans="1:8" ht="15.75" customHeight="1" x14ac:dyDescent="0.2">
      <c r="B4" s="16" t="s">
        <v>79</v>
      </c>
      <c r="C4" s="54">
        <v>0.13264603865277511</v>
      </c>
    </row>
    <row r="5" spans="1:8" ht="15.75" customHeight="1" x14ac:dyDescent="0.2">
      <c r="B5" s="16" t="s">
        <v>80</v>
      </c>
      <c r="C5" s="54">
        <v>5.912924223676877E-2</v>
      </c>
    </row>
    <row r="6" spans="1:8" ht="15.75" customHeight="1" x14ac:dyDescent="0.2">
      <c r="B6" s="16" t="s">
        <v>81</v>
      </c>
      <c r="C6" s="54">
        <v>0.23872730575714471</v>
      </c>
    </row>
    <row r="7" spans="1:8" ht="15.75" customHeight="1" x14ac:dyDescent="0.2">
      <c r="B7" s="16" t="s">
        <v>82</v>
      </c>
      <c r="C7" s="54">
        <v>0.31029056805960381</v>
      </c>
    </row>
    <row r="8" spans="1:8" ht="15.75" customHeight="1" x14ac:dyDescent="0.2">
      <c r="B8" s="16" t="s">
        <v>83</v>
      </c>
      <c r="C8" s="54">
        <v>2.8719849386617769E-3</v>
      </c>
    </row>
    <row r="9" spans="1:8" ht="15.75" customHeight="1" x14ac:dyDescent="0.2">
      <c r="B9" s="16" t="s">
        <v>84</v>
      </c>
      <c r="C9" s="54">
        <v>0.1677799416847397</v>
      </c>
    </row>
    <row r="10" spans="1:8" ht="15.75" customHeight="1" x14ac:dyDescent="0.2">
      <c r="B10" s="16" t="s">
        <v>85</v>
      </c>
      <c r="C10" s="54">
        <v>8.3631401071759801E-2</v>
      </c>
    </row>
    <row r="11" spans="1:8" ht="15.75" customHeight="1" x14ac:dyDescent="0.2">
      <c r="B11" s="24" t="s">
        <v>41</v>
      </c>
      <c r="C11" s="50">
        <f>SUM(C3:C10)</f>
        <v>1.0000000000000002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">
      <c r="B14" s="16" t="s">
        <v>87</v>
      </c>
      <c r="C14" s="54">
        <v>0.1438259902908689</v>
      </c>
      <c r="D14" s="54">
        <v>0.1438259902908689</v>
      </c>
      <c r="E14" s="54">
        <v>0.1438259902908689</v>
      </c>
      <c r="F14" s="54">
        <v>0.1438259902908689</v>
      </c>
    </row>
    <row r="15" spans="1:8" ht="15.75" customHeight="1" x14ac:dyDescent="0.2">
      <c r="B15" s="16" t="s">
        <v>88</v>
      </c>
      <c r="C15" s="54">
        <v>0.25271776827895109</v>
      </c>
      <c r="D15" s="54">
        <v>0.25271776827895109</v>
      </c>
      <c r="E15" s="54">
        <v>0.25271776827895109</v>
      </c>
      <c r="F15" s="54">
        <v>0.25271776827895109</v>
      </c>
    </row>
    <row r="16" spans="1:8" ht="15.75" customHeight="1" x14ac:dyDescent="0.2">
      <c r="B16" s="16" t="s">
        <v>89</v>
      </c>
      <c r="C16" s="54">
        <v>2.1895954867288549E-2</v>
      </c>
      <c r="D16" s="54">
        <v>2.1895954867288549E-2</v>
      </c>
      <c r="E16" s="54">
        <v>2.1895954867288549E-2</v>
      </c>
      <c r="F16" s="54">
        <v>2.1895954867288549E-2</v>
      </c>
    </row>
    <row r="17" spans="1:8" ht="15.75" customHeight="1" x14ac:dyDescent="0.2">
      <c r="B17" s="16" t="s">
        <v>90</v>
      </c>
      <c r="C17" s="54">
        <v>1.3197283048229969E-2</v>
      </c>
      <c r="D17" s="54">
        <v>1.3197283048229969E-2</v>
      </c>
      <c r="E17" s="54">
        <v>1.3197283048229969E-2</v>
      </c>
      <c r="F17" s="54">
        <v>1.3197283048229969E-2</v>
      </c>
    </row>
    <row r="18" spans="1:8" ht="15.75" customHeight="1" x14ac:dyDescent="0.2">
      <c r="B18" s="16" t="s">
        <v>91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">
      <c r="B19" s="16" t="s">
        <v>92</v>
      </c>
      <c r="C19" s="54">
        <v>7.3074803038031474E-2</v>
      </c>
      <c r="D19" s="54">
        <v>7.3074803038031474E-2</v>
      </c>
      <c r="E19" s="54">
        <v>7.3074803038031474E-2</v>
      </c>
      <c r="F19" s="54">
        <v>7.3074803038031474E-2</v>
      </c>
    </row>
    <row r="20" spans="1:8" ht="15.75" customHeight="1" x14ac:dyDescent="0.2">
      <c r="B20" s="16" t="s">
        <v>93</v>
      </c>
      <c r="C20" s="54">
        <v>2.5814728686309359E-3</v>
      </c>
      <c r="D20" s="54">
        <v>2.5814728686309359E-3</v>
      </c>
      <c r="E20" s="54">
        <v>2.5814728686309359E-3</v>
      </c>
      <c r="F20" s="54">
        <v>2.5814728686309359E-3</v>
      </c>
    </row>
    <row r="21" spans="1:8" ht="15.75" customHeight="1" x14ac:dyDescent="0.2">
      <c r="B21" s="16" t="s">
        <v>94</v>
      </c>
      <c r="C21" s="54">
        <v>0.16236697317227669</v>
      </c>
      <c r="D21" s="54">
        <v>0.16236697317227669</v>
      </c>
      <c r="E21" s="54">
        <v>0.16236697317227669</v>
      </c>
      <c r="F21" s="54">
        <v>0.16236697317227669</v>
      </c>
    </row>
    <row r="22" spans="1:8" ht="15.75" customHeight="1" x14ac:dyDescent="0.2">
      <c r="B22" s="16" t="s">
        <v>95</v>
      </c>
      <c r="C22" s="54">
        <v>0.3303397544357225</v>
      </c>
      <c r="D22" s="54">
        <v>0.3303397544357225</v>
      </c>
      <c r="E22" s="54">
        <v>0.3303397544357225</v>
      </c>
      <c r="F22" s="54">
        <v>0.3303397544357225</v>
      </c>
    </row>
    <row r="23" spans="1:8" ht="15.75" customHeight="1" x14ac:dyDescent="0.2">
      <c r="B23" s="24" t="s">
        <v>41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">
      <c r="B26" s="16" t="s">
        <v>101</v>
      </c>
      <c r="C26" s="54">
        <v>4.4400000000000002E-2</v>
      </c>
    </row>
    <row r="27" spans="1:8" ht="15.75" customHeight="1" x14ac:dyDescent="0.2">
      <c r="B27" s="16" t="s">
        <v>102</v>
      </c>
      <c r="C27" s="54">
        <v>4.8599999999999997E-2</v>
      </c>
    </row>
    <row r="28" spans="1:8" ht="15.75" customHeight="1" x14ac:dyDescent="0.2">
      <c r="B28" s="16" t="s">
        <v>103</v>
      </c>
      <c r="C28" s="54">
        <v>0.1646</v>
      </c>
    </row>
    <row r="29" spans="1:8" ht="15.75" customHeight="1" x14ac:dyDescent="0.2">
      <c r="B29" s="16" t="s">
        <v>104</v>
      </c>
      <c r="C29" s="54">
        <v>0.20369999999999999</v>
      </c>
    </row>
    <row r="30" spans="1:8" ht="15.75" customHeight="1" x14ac:dyDescent="0.2">
      <c r="B30" s="16" t="s">
        <v>2</v>
      </c>
      <c r="C30" s="54">
        <v>4.3400000000000001E-2</v>
      </c>
    </row>
    <row r="31" spans="1:8" ht="15.75" customHeight="1" x14ac:dyDescent="0.2">
      <c r="B31" s="16" t="s">
        <v>105</v>
      </c>
      <c r="C31" s="54">
        <v>9.7599999999999992E-2</v>
      </c>
    </row>
    <row r="32" spans="1:8" ht="15.75" customHeight="1" x14ac:dyDescent="0.2">
      <c r="B32" s="16" t="s">
        <v>106</v>
      </c>
      <c r="C32" s="54">
        <v>4.3299999999999998E-2</v>
      </c>
    </row>
    <row r="33" spans="2:3" ht="15.75" customHeight="1" x14ac:dyDescent="0.2">
      <c r="B33" s="16" t="s">
        <v>107</v>
      </c>
      <c r="C33" s="54">
        <v>0.2414</v>
      </c>
    </row>
    <row r="34" spans="2:3" ht="15.75" customHeight="1" x14ac:dyDescent="0.2">
      <c r="B34" s="16" t="s">
        <v>108</v>
      </c>
      <c r="C34" s="54">
        <v>0.113</v>
      </c>
    </row>
    <row r="35" spans="2:3" ht="15.75" customHeight="1" x14ac:dyDescent="0.2">
      <c r="B35" s="24" t="s">
        <v>41</v>
      </c>
      <c r="C35" s="50">
        <f>SUM(C26:C34)</f>
        <v>1</v>
      </c>
    </row>
  </sheetData>
  <sheetProtection algorithmName="SHA-512" hashValue="bjVRC3JEk+W43pgm4FJgdduHRl/MyZJhhtOjA/NuW2xTjap+2BAPuowCbTa+3UcMREQUsLqxs59ZcO9pmqMI6g==" saltValue="4EnU4pQ0x4OPLjrbWrRGL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">
      <c r="A2" s="4" t="s">
        <v>111</v>
      </c>
      <c r="B2" s="7" t="s">
        <v>112</v>
      </c>
      <c r="C2" s="55">
        <v>0.66299999999999992</v>
      </c>
      <c r="D2" s="55">
        <v>0.66299999999999992</v>
      </c>
      <c r="E2" s="55">
        <v>0.64349999999999996</v>
      </c>
      <c r="F2" s="55">
        <v>0.41933999999999999</v>
      </c>
      <c r="G2" s="55">
        <v>0.34104000000000001</v>
      </c>
    </row>
    <row r="3" spans="1:15" ht="15.75" customHeight="1" x14ac:dyDescent="0.2">
      <c r="B3" s="7" t="s">
        <v>113</v>
      </c>
      <c r="C3" s="55">
        <v>0.221</v>
      </c>
      <c r="D3" s="55">
        <v>0.221</v>
      </c>
      <c r="E3" s="55">
        <v>0.2145</v>
      </c>
      <c r="F3" s="55">
        <v>0.30365999999999999</v>
      </c>
      <c r="G3" s="55">
        <v>0.24696000000000001</v>
      </c>
    </row>
    <row r="4" spans="1:15" ht="15.75" customHeight="1" x14ac:dyDescent="0.2">
      <c r="B4" s="7" t="s">
        <v>114</v>
      </c>
      <c r="C4" s="56">
        <v>8.1000000000000003E-2</v>
      </c>
      <c r="D4" s="56">
        <v>8.1000000000000003E-2</v>
      </c>
      <c r="E4" s="56">
        <v>0.111</v>
      </c>
      <c r="F4" s="56">
        <v>0.188</v>
      </c>
      <c r="G4" s="56">
        <v>0.27600000000000002</v>
      </c>
    </row>
    <row r="5" spans="1:15" ht="15.75" customHeight="1" x14ac:dyDescent="0.2">
      <c r="B5" s="7" t="s">
        <v>115</v>
      </c>
      <c r="C5" s="56">
        <v>3.5000000000000003E-2</v>
      </c>
      <c r="D5" s="56">
        <v>3.5000000000000003E-2</v>
      </c>
      <c r="E5" s="56">
        <v>3.1E-2</v>
      </c>
      <c r="F5" s="56">
        <v>8.900000000000001E-2</v>
      </c>
      <c r="G5" s="56">
        <v>0.13600000000000001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116</v>
      </c>
      <c r="B8" s="7" t="s">
        <v>117</v>
      </c>
      <c r="C8" s="55">
        <v>0.73040000000000005</v>
      </c>
      <c r="D8" s="55">
        <v>0.73040000000000005</v>
      </c>
      <c r="E8" s="55">
        <v>0.73372000000000004</v>
      </c>
      <c r="F8" s="55">
        <v>0.75197999999999998</v>
      </c>
      <c r="G8" s="55">
        <v>0.79347999999999996</v>
      </c>
    </row>
    <row r="9" spans="1:15" ht="15.75" customHeight="1" x14ac:dyDescent="0.2">
      <c r="B9" s="7" t="s">
        <v>118</v>
      </c>
      <c r="C9" s="55">
        <v>0.14960000000000001</v>
      </c>
      <c r="D9" s="55">
        <v>0.14960000000000001</v>
      </c>
      <c r="E9" s="55">
        <v>0.15028</v>
      </c>
      <c r="F9" s="55">
        <v>0.15401999999999999</v>
      </c>
      <c r="G9" s="55">
        <v>0.16252</v>
      </c>
    </row>
    <row r="10" spans="1:15" ht="15.75" customHeight="1" x14ac:dyDescent="0.2">
      <c r="B10" s="7" t="s">
        <v>119</v>
      </c>
      <c r="C10" s="56">
        <v>6.7000000000000004E-2</v>
      </c>
      <c r="D10" s="56">
        <v>6.7000000000000004E-2</v>
      </c>
      <c r="E10" s="56">
        <v>0.08</v>
      </c>
      <c r="F10" s="56">
        <v>6.8000000000000005E-2</v>
      </c>
      <c r="G10" s="56">
        <v>3.3000000000000002E-2</v>
      </c>
    </row>
    <row r="11" spans="1:15" ht="15.75" customHeight="1" x14ac:dyDescent="0.2">
      <c r="B11" s="7" t="s">
        <v>120</v>
      </c>
      <c r="C11" s="56">
        <v>5.2999999999999999E-2</v>
      </c>
      <c r="D11" s="56">
        <v>5.2999999999999999E-2</v>
      </c>
      <c r="E11" s="56">
        <v>3.5999999999999997E-2</v>
      </c>
      <c r="F11" s="56">
        <v>2.5999999999999999E-2</v>
      </c>
      <c r="G11" s="56">
        <v>1.0999999999999999E-2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">
      <c r="B14" s="28" t="s">
        <v>126</v>
      </c>
      <c r="C14" s="57">
        <v>0.69556121950000005</v>
      </c>
      <c r="D14" s="57">
        <v>0.675081075162</v>
      </c>
      <c r="E14" s="57">
        <v>0.675081075162</v>
      </c>
      <c r="F14" s="57">
        <v>0.28962774625999999</v>
      </c>
      <c r="G14" s="57">
        <v>0.28962774625999999</v>
      </c>
      <c r="H14" s="58">
        <v>0.755</v>
      </c>
      <c r="I14" s="58">
        <v>0.30299999999999999</v>
      </c>
      <c r="J14" s="58">
        <v>0.30299999999999999</v>
      </c>
      <c r="K14" s="58">
        <v>0.30299999999999999</v>
      </c>
      <c r="L14" s="58">
        <v>0.212984412603</v>
      </c>
      <c r="M14" s="58">
        <v>0.12352216358949999</v>
      </c>
      <c r="N14" s="58">
        <v>0.14524636011100001</v>
      </c>
      <c r="O14" s="58">
        <v>0.15834649267299999</v>
      </c>
    </row>
    <row r="15" spans="1:15" ht="15.75" customHeight="1" x14ac:dyDescent="0.2">
      <c r="B15" s="28" t="s">
        <v>127</v>
      </c>
      <c r="C15" s="55">
        <f t="shared" ref="C15:O15" si="0">iron_deficiency_anaemia*C14</f>
        <v>0.35698382389749722</v>
      </c>
      <c r="D15" s="55">
        <f t="shared" si="0"/>
        <v>0.34647277176464908</v>
      </c>
      <c r="E15" s="55">
        <f t="shared" si="0"/>
        <v>0.34647277176464908</v>
      </c>
      <c r="F15" s="55">
        <f t="shared" si="0"/>
        <v>0.14864603929619863</v>
      </c>
      <c r="G15" s="55">
        <f t="shared" si="0"/>
        <v>0.14864603929619863</v>
      </c>
      <c r="H15" s="55">
        <f t="shared" si="0"/>
        <v>0.38748966947345803</v>
      </c>
      <c r="I15" s="55">
        <f t="shared" si="0"/>
        <v>0.15550909913967917</v>
      </c>
      <c r="J15" s="55">
        <f t="shared" si="0"/>
        <v>0.15550909913967917</v>
      </c>
      <c r="K15" s="55">
        <f t="shared" si="0"/>
        <v>0.15550909913967917</v>
      </c>
      <c r="L15" s="55">
        <f t="shared" si="0"/>
        <v>0.10931027767223189</v>
      </c>
      <c r="M15" s="55">
        <f t="shared" si="0"/>
        <v>6.3395446810518896E-2</v>
      </c>
      <c r="N15" s="55">
        <f t="shared" si="0"/>
        <v>7.4544985525343374E-2</v>
      </c>
      <c r="O15" s="55">
        <f t="shared" si="0"/>
        <v>8.1268384249194844E-2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sheetProtection algorithmName="SHA-512" hashValue="4SDRM798HPr6PxH4LioTQIpsPKOB3DzfaLI+936LY+VQOjahTv7Jfccwr8n9QIg3f8ytg5Q7qlJEGgD7KpMizg==" saltValue="p2maQ3ORsW5VrXEQ7jLrj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">
      <c r="A2" s="4" t="s">
        <v>128</v>
      </c>
      <c r="B2" s="98" t="s">
        <v>129</v>
      </c>
      <c r="C2" s="56">
        <v>0.49628427624702398</v>
      </c>
      <c r="D2" s="56">
        <v>0.31777070000000002</v>
      </c>
      <c r="E2" s="56">
        <v>0</v>
      </c>
      <c r="F2" s="56">
        <v>0</v>
      </c>
      <c r="G2" s="56">
        <v>0</v>
      </c>
    </row>
    <row r="3" spans="1:7" x14ac:dyDescent="0.2">
      <c r="B3" s="98" t="s">
        <v>130</v>
      </c>
      <c r="C3" s="56">
        <v>0.17591752111911799</v>
      </c>
      <c r="D3" s="56">
        <v>0.19311990000000001</v>
      </c>
      <c r="E3" s="56">
        <v>0</v>
      </c>
      <c r="F3" s="56">
        <v>0</v>
      </c>
      <c r="G3" s="56">
        <v>0</v>
      </c>
    </row>
    <row r="4" spans="1:7" x14ac:dyDescent="0.2">
      <c r="B4" s="98" t="s">
        <v>131</v>
      </c>
      <c r="C4" s="56">
        <v>0.24337454140186299</v>
      </c>
      <c r="D4" s="56">
        <v>0.31273339999999999</v>
      </c>
      <c r="E4" s="56">
        <v>0.73519980907440197</v>
      </c>
      <c r="F4" s="56">
        <v>0.595922291278839</v>
      </c>
      <c r="G4" s="56">
        <v>0</v>
      </c>
    </row>
    <row r="5" spans="1:7" x14ac:dyDescent="0.2">
      <c r="B5" s="98" t="s">
        <v>132</v>
      </c>
      <c r="C5" s="55">
        <v>8.4423661231995115E-2</v>
      </c>
      <c r="D5" s="55">
        <v>0.176376</v>
      </c>
      <c r="E5" s="55">
        <v>0.26480019092559798</v>
      </c>
      <c r="F5" s="55">
        <v>0.40407770872116111</v>
      </c>
      <c r="G5" s="55">
        <v>1</v>
      </c>
    </row>
  </sheetData>
  <sheetProtection algorithmName="SHA-512" hashValue="q626xBA6NC4vHSvJjXo4m/3c4snAVrthOWZvIa0XMjMPzqc5BsajIf2vPsM8MJjEW94/NTcjbBDoMRZTHOKQKA==" saltValue="H2cx4+8B8lxEhBe8yrZp6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42wj8WLpcMmRzoNLaPnmQhg3Z+kzYJTYM7fd9xECILwJOBEIoWZ+gq7fEiyGhbOZ5tvotCwBAoxXoeMEI27uUA==" saltValue="IW37uzvoNXc3k8K+ByCP7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4</v>
      </c>
      <c r="B1" s="39" t="s">
        <v>144</v>
      </c>
    </row>
    <row r="2" spans="1:2" x14ac:dyDescent="0.2">
      <c r="A2" s="113" t="s">
        <v>145</v>
      </c>
      <c r="B2" s="114">
        <v>10</v>
      </c>
    </row>
    <row r="3" spans="1:2" x14ac:dyDescent="0.2">
      <c r="A3" s="113" t="s">
        <v>150</v>
      </c>
      <c r="B3" s="114">
        <v>10</v>
      </c>
    </row>
    <row r="4" spans="1:2" x14ac:dyDescent="0.2">
      <c r="A4" s="113" t="s">
        <v>146</v>
      </c>
      <c r="B4" s="114">
        <v>10</v>
      </c>
    </row>
    <row r="5" spans="1:2" x14ac:dyDescent="0.2">
      <c r="A5" s="113" t="s">
        <v>147</v>
      </c>
      <c r="B5" s="114">
        <v>10</v>
      </c>
    </row>
    <row r="6" spans="1:2" x14ac:dyDescent="0.2">
      <c r="A6" s="113" t="s">
        <v>148</v>
      </c>
      <c r="B6" s="114">
        <v>10</v>
      </c>
    </row>
    <row r="7" spans="1:2" x14ac:dyDescent="0.2">
      <c r="A7" s="113" t="s">
        <v>149</v>
      </c>
      <c r="B7" s="114">
        <v>10</v>
      </c>
    </row>
  </sheetData>
  <sheetProtection algorithmName="SHA-512" hashValue="UjfPIi8hiEz2iKGEazlj2UtBnBvzzwQtZYSYYGahG+I5ttM9c14o/k5Jl+CVJ4qYVeFUgOH+Hepb+GD+HFuReQ==" saltValue="F3auWnkcvDWcoK+cVALfX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">
      <c r="B5" s="31" t="s">
        <v>97</v>
      </c>
      <c r="C5" s="59"/>
      <c r="D5" s="59"/>
      <c r="E5" s="38" t="str">
        <f>IF(E$7="","",E$7)</f>
        <v/>
      </c>
    </row>
    <row r="6" spans="1:5" x14ac:dyDescent="0.2">
      <c r="B6" s="31" t="s">
        <v>98</v>
      </c>
      <c r="C6" s="59"/>
      <c r="D6" s="59"/>
      <c r="E6" s="38" t="str">
        <f>IF(E$7="","",E$7)</f>
        <v/>
      </c>
    </row>
    <row r="7" spans="1:5" x14ac:dyDescent="0.2">
      <c r="B7" s="31" t="s">
        <v>156</v>
      </c>
      <c r="C7" s="30"/>
      <c r="D7" s="29"/>
      <c r="E7" s="59"/>
    </row>
    <row r="9" spans="1:5" x14ac:dyDescent="0.2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">
      <c r="B10" s="31" t="s">
        <v>109</v>
      </c>
      <c r="C10" s="59"/>
      <c r="D10" s="59"/>
      <c r="E10" s="38" t="str">
        <f>IF(E$7="","",E$7)</f>
        <v/>
      </c>
    </row>
    <row r="11" spans="1:5" x14ac:dyDescent="0.2">
      <c r="B11" s="31" t="s">
        <v>96</v>
      </c>
      <c r="C11" s="59"/>
      <c r="D11" s="59"/>
      <c r="E11" s="38" t="str">
        <f>IF(E$7="","",E$7)</f>
        <v/>
      </c>
    </row>
    <row r="12" spans="1:5" x14ac:dyDescent="0.2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">
      <c r="B14" s="31" t="s">
        <v>156</v>
      </c>
      <c r="C14" s="30"/>
      <c r="D14" s="29"/>
      <c r="E14" s="59"/>
    </row>
    <row r="16" spans="1:5" x14ac:dyDescent="0.2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">
      <c r="B21" s="31" t="s">
        <v>156</v>
      </c>
      <c r="C21" s="30"/>
      <c r="D21" s="29"/>
      <c r="E21" s="59"/>
    </row>
  </sheetData>
  <sheetProtection algorithmName="SHA-512" hashValue="cJ172qVtn1a6pOFpkUYiJkCZz6xs1TWlkZW2VA9B2fipXmWysGx1h9+xobffiLliosQOjyP1kEV5gnj0nLzKwA==" saltValue="q94UMwMxu2vmGLtBOf1jS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">
      <c r="A2" s="41" t="s">
        <v>160</v>
      </c>
      <c r="B2" s="31" t="s">
        <v>161</v>
      </c>
      <c r="C2" s="31" t="s">
        <v>165</v>
      </c>
      <c r="D2" s="59"/>
    </row>
    <row r="3" spans="1:4" x14ac:dyDescent="0.2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PQLBlWykZsPF2Vh674aTnAQFEktLLotXfv1sdQ/6PqmoZdddNbEnWRQeshK4NjeRsGKv3EDNHiaKNMDT9lQGDg==" saltValue="71Zwyx5QBYy0A7hmvmKPI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">
      <c r="A2" s="36" t="s">
        <v>168</v>
      </c>
      <c r="B2" s="115">
        <v>0.207149977523407</v>
      </c>
      <c r="C2" s="115">
        <v>0.95</v>
      </c>
      <c r="D2" s="116">
        <v>50.420209969169832</v>
      </c>
      <c r="E2" s="60" t="s">
        <v>201</v>
      </c>
      <c r="F2" s="115">
        <v>1</v>
      </c>
      <c r="G2" s="115">
        <v>1</v>
      </c>
    </row>
    <row r="3" spans="1:7" ht="15.75" customHeight="1" x14ac:dyDescent="0.2">
      <c r="A3" s="36" t="s">
        <v>169</v>
      </c>
      <c r="B3" s="115">
        <v>0</v>
      </c>
      <c r="C3" s="115">
        <v>0.95</v>
      </c>
      <c r="D3" s="116">
        <v>39.709579037933892</v>
      </c>
      <c r="E3" s="60" t="s">
        <v>201</v>
      </c>
      <c r="F3" s="115">
        <v>1</v>
      </c>
      <c r="G3" s="115">
        <v>1</v>
      </c>
    </row>
    <row r="4" spans="1:7" ht="15.75" customHeight="1" x14ac:dyDescent="0.2">
      <c r="A4" s="36" t="s">
        <v>170</v>
      </c>
      <c r="B4" s="115">
        <v>0</v>
      </c>
      <c r="C4" s="115">
        <v>0.95</v>
      </c>
      <c r="D4" s="116">
        <v>295.10719290294543</v>
      </c>
      <c r="E4" s="60" t="s">
        <v>201</v>
      </c>
      <c r="F4" s="115">
        <v>1</v>
      </c>
      <c r="G4" s="115">
        <v>1</v>
      </c>
    </row>
    <row r="5" spans="1:7" ht="15.75" customHeight="1" x14ac:dyDescent="0.2">
      <c r="A5" s="36" t="s">
        <v>171</v>
      </c>
      <c r="B5" s="115">
        <v>0</v>
      </c>
      <c r="C5" s="115">
        <v>0.95</v>
      </c>
      <c r="D5" s="116">
        <v>0.38656991725663292</v>
      </c>
      <c r="E5" s="60" t="s">
        <v>201</v>
      </c>
      <c r="F5" s="115">
        <v>1</v>
      </c>
      <c r="G5" s="115">
        <v>1</v>
      </c>
    </row>
    <row r="6" spans="1:7" ht="15.75" customHeight="1" x14ac:dyDescent="0.2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">
      <c r="A10" s="85" t="s">
        <v>176</v>
      </c>
      <c r="B10" s="115">
        <v>0</v>
      </c>
      <c r="C10" s="115">
        <v>0.95</v>
      </c>
      <c r="D10" s="116">
        <v>12.8418784817298</v>
      </c>
      <c r="E10" s="60" t="s">
        <v>201</v>
      </c>
      <c r="F10" s="115">
        <v>1</v>
      </c>
      <c r="G10" s="115">
        <v>1</v>
      </c>
    </row>
    <row r="11" spans="1:7" ht="15.75" customHeight="1" x14ac:dyDescent="0.2">
      <c r="A11" s="85" t="s">
        <v>177</v>
      </c>
      <c r="B11" s="115">
        <v>0</v>
      </c>
      <c r="C11" s="115">
        <v>0.95</v>
      </c>
      <c r="D11" s="116">
        <v>12.8418784817298</v>
      </c>
      <c r="E11" s="60" t="s">
        <v>201</v>
      </c>
      <c r="F11" s="115">
        <v>1</v>
      </c>
      <c r="G11" s="115">
        <v>1</v>
      </c>
    </row>
    <row r="12" spans="1:7" ht="15.75" customHeight="1" x14ac:dyDescent="0.2">
      <c r="A12" s="85" t="s">
        <v>178</v>
      </c>
      <c r="B12" s="115">
        <v>0</v>
      </c>
      <c r="C12" s="115">
        <v>0.95</v>
      </c>
      <c r="D12" s="116">
        <v>12.8418784817298</v>
      </c>
      <c r="E12" s="60" t="s">
        <v>201</v>
      </c>
      <c r="F12" s="115">
        <v>1</v>
      </c>
      <c r="G12" s="115">
        <v>1</v>
      </c>
    </row>
    <row r="13" spans="1:7" ht="15.75" customHeight="1" x14ac:dyDescent="0.2">
      <c r="A13" s="85" t="s">
        <v>179</v>
      </c>
      <c r="B13" s="115">
        <v>0</v>
      </c>
      <c r="C13" s="115">
        <v>0.95</v>
      </c>
      <c r="D13" s="116">
        <v>12.8418784817298</v>
      </c>
      <c r="E13" s="60" t="s">
        <v>201</v>
      </c>
      <c r="F13" s="115">
        <v>1</v>
      </c>
      <c r="G13" s="115">
        <v>1</v>
      </c>
    </row>
    <row r="14" spans="1:7" ht="15.75" customHeight="1" x14ac:dyDescent="0.2">
      <c r="A14" s="7" t="s">
        <v>180</v>
      </c>
      <c r="B14" s="115">
        <v>0</v>
      </c>
      <c r="C14" s="115">
        <v>0.95</v>
      </c>
      <c r="D14" s="116">
        <v>12.8418784817298</v>
      </c>
      <c r="E14" s="60" t="s">
        <v>201</v>
      </c>
      <c r="F14" s="115">
        <v>1</v>
      </c>
      <c r="G14" s="115">
        <v>1</v>
      </c>
    </row>
    <row r="15" spans="1:7" ht="15.75" customHeight="1" x14ac:dyDescent="0.2">
      <c r="A15" s="7" t="s">
        <v>181</v>
      </c>
      <c r="B15" s="115">
        <v>0</v>
      </c>
      <c r="C15" s="115">
        <v>0.95</v>
      </c>
      <c r="D15" s="116">
        <v>12.8418784817298</v>
      </c>
      <c r="E15" s="60" t="s">
        <v>201</v>
      </c>
      <c r="F15" s="115">
        <v>1</v>
      </c>
      <c r="G15" s="115">
        <v>1</v>
      </c>
    </row>
    <row r="16" spans="1:7" ht="15.75" customHeight="1" x14ac:dyDescent="0.2">
      <c r="A16" s="36" t="s">
        <v>182</v>
      </c>
      <c r="B16" s="115">
        <v>0</v>
      </c>
      <c r="C16" s="115">
        <v>0.95</v>
      </c>
      <c r="D16" s="116">
        <v>0.54864428162514955</v>
      </c>
      <c r="E16" s="60" t="s">
        <v>201</v>
      </c>
      <c r="F16" s="115">
        <v>1</v>
      </c>
      <c r="G16" s="115">
        <v>1</v>
      </c>
    </row>
    <row r="17" spans="1:7" ht="15.75" customHeight="1" x14ac:dyDescent="0.2">
      <c r="A17" s="36" t="s">
        <v>183</v>
      </c>
      <c r="B17" s="115">
        <v>0.35023333333333301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5" customHeight="1" x14ac:dyDescent="0.2">
      <c r="A18" s="36" t="s">
        <v>157</v>
      </c>
      <c r="B18" s="115">
        <v>0.53775850000000003</v>
      </c>
      <c r="C18" s="115">
        <v>0.95</v>
      </c>
      <c r="D18" s="116">
        <v>6.8391836861488278</v>
      </c>
      <c r="E18" s="60" t="s">
        <v>201</v>
      </c>
      <c r="F18" s="115">
        <v>1</v>
      </c>
      <c r="G18" s="115">
        <v>1</v>
      </c>
    </row>
    <row r="19" spans="1:7" ht="15.75" customHeight="1" x14ac:dyDescent="0.2">
      <c r="A19" s="36" t="s">
        <v>158</v>
      </c>
      <c r="B19" s="115">
        <v>0.53775850000000003</v>
      </c>
      <c r="C19" s="115">
        <v>0.95</v>
      </c>
      <c r="D19" s="116">
        <v>6.8391836861488278</v>
      </c>
      <c r="E19" s="60" t="s">
        <v>201</v>
      </c>
      <c r="F19" s="115">
        <v>1</v>
      </c>
      <c r="G19" s="115">
        <v>1</v>
      </c>
    </row>
    <row r="20" spans="1:7" ht="15.75" customHeight="1" x14ac:dyDescent="0.2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">
      <c r="A21" s="36" t="s">
        <v>184</v>
      </c>
      <c r="B21" s="115">
        <v>0.77749809999999997</v>
      </c>
      <c r="C21" s="115">
        <v>0.95</v>
      </c>
      <c r="D21" s="116">
        <v>3.9900848934620532</v>
      </c>
      <c r="E21" s="60" t="s">
        <v>201</v>
      </c>
      <c r="F21" s="115">
        <v>1</v>
      </c>
      <c r="G21" s="115">
        <v>1</v>
      </c>
    </row>
    <row r="22" spans="1:7" ht="15.75" customHeight="1" x14ac:dyDescent="0.2">
      <c r="A22" s="36" t="s">
        <v>185</v>
      </c>
      <c r="B22" s="115">
        <v>0</v>
      </c>
      <c r="C22" s="115">
        <v>0.95</v>
      </c>
      <c r="D22" s="116">
        <v>22.071689414352811</v>
      </c>
      <c r="E22" s="60" t="s">
        <v>201</v>
      </c>
      <c r="F22" s="115">
        <v>1</v>
      </c>
      <c r="G22" s="115">
        <v>1</v>
      </c>
    </row>
    <row r="23" spans="1:7" ht="15.75" customHeight="1" x14ac:dyDescent="0.2">
      <c r="A23" s="36" t="s">
        <v>186</v>
      </c>
      <c r="B23" s="115">
        <v>0</v>
      </c>
      <c r="C23" s="115">
        <v>0.95</v>
      </c>
      <c r="D23" s="116">
        <v>4.1728995609348631</v>
      </c>
      <c r="E23" s="60" t="s">
        <v>201</v>
      </c>
      <c r="F23" s="115">
        <v>1</v>
      </c>
      <c r="G23" s="115">
        <v>1</v>
      </c>
    </row>
    <row r="24" spans="1:7" ht="15.75" customHeight="1" x14ac:dyDescent="0.2">
      <c r="A24" s="36" t="s">
        <v>187</v>
      </c>
      <c r="B24" s="115">
        <v>0.58181745594181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">
      <c r="A26" s="36" t="s">
        <v>189</v>
      </c>
      <c r="B26" s="115">
        <v>0.50621587038040194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">
      <c r="A27" s="36" t="s">
        <v>190</v>
      </c>
      <c r="B27" s="115">
        <v>0</v>
      </c>
      <c r="C27" s="115">
        <v>0.95</v>
      </c>
      <c r="D27" s="116">
        <v>18.40378878530877</v>
      </c>
      <c r="E27" s="60" t="s">
        <v>201</v>
      </c>
      <c r="F27" s="115">
        <v>1</v>
      </c>
      <c r="G27" s="115">
        <v>1</v>
      </c>
    </row>
    <row r="28" spans="1:7" ht="15.75" customHeight="1" x14ac:dyDescent="0.2">
      <c r="A28" s="36" t="s">
        <v>191</v>
      </c>
      <c r="B28" s="115">
        <v>0.244018495082855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">
      <c r="A29" s="36" t="s">
        <v>192</v>
      </c>
      <c r="B29" s="115">
        <v>0.64800000000000002</v>
      </c>
      <c r="C29" s="115">
        <v>0.95</v>
      </c>
      <c r="D29" s="116">
        <v>96.281170578850436</v>
      </c>
      <c r="E29" s="60" t="s">
        <v>201</v>
      </c>
      <c r="F29" s="115">
        <v>1</v>
      </c>
      <c r="G29" s="115">
        <v>1</v>
      </c>
    </row>
    <row r="30" spans="1:7" ht="15.75" customHeight="1" x14ac:dyDescent="0.2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">
      <c r="A31" s="36" t="s">
        <v>161</v>
      </c>
      <c r="B31" s="115">
        <v>0</v>
      </c>
      <c r="C31" s="115">
        <v>0.95</v>
      </c>
      <c r="D31" s="116">
        <v>3.165382982361816</v>
      </c>
      <c r="E31" s="60" t="s">
        <v>201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1.1605072878943321</v>
      </c>
      <c r="E32" s="60" t="s">
        <v>201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0.1019369507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0.40116151085793489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0.7846296303093151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2.5690343142936309</v>
      </c>
      <c r="E38" s="60" t="s">
        <v>201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0.76533502067423298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eaGjqaHuvHoNRZ0GyHtq8yGzJlrHONEDg2XlBG42HDyjsQ5G2tTa6Dxmz0u2jfRHuADLka6PYkkpzPdeQwuCxw==" saltValue="ly4ijd4F8yO5E+bnr6ACV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160</v>
      </c>
      <c r="B1" s="71" t="s">
        <v>206</v>
      </c>
      <c r="C1" s="71" t="s">
        <v>207</v>
      </c>
    </row>
    <row r="2" spans="1:3" x14ac:dyDescent="0.2">
      <c r="A2" s="61" t="s">
        <v>180</v>
      </c>
      <c r="B2" s="59" t="s">
        <v>190</v>
      </c>
      <c r="C2" s="59"/>
    </row>
    <row r="3" spans="1:3" x14ac:dyDescent="0.2">
      <c r="A3" s="61" t="s">
        <v>181</v>
      </c>
      <c r="B3" s="59" t="s">
        <v>190</v>
      </c>
      <c r="C3" s="59"/>
    </row>
    <row r="4" spans="1:3" x14ac:dyDescent="0.2">
      <c r="A4" s="62" t="s">
        <v>192</v>
      </c>
      <c r="B4" s="59" t="s">
        <v>185</v>
      </c>
      <c r="C4" s="59"/>
    </row>
    <row r="5" spans="1:3" x14ac:dyDescent="0.2">
      <c r="A5" s="62" t="s">
        <v>189</v>
      </c>
      <c r="B5" s="59" t="s">
        <v>185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ZgjdxxXLuzKUSCcnb+8g0sEvsv17phIERm6otzdj0WSKtyPb3COsuxLqivQziFoifFJLofj3kV/vyaaO7eFWA==" saltValue="StFMoKCiLcQjUDMWp/GOv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160</v>
      </c>
    </row>
    <row r="2" spans="1:1" x14ac:dyDescent="0.2">
      <c r="A2" s="32" t="s">
        <v>172</v>
      </c>
    </row>
    <row r="3" spans="1:1" x14ac:dyDescent="0.2">
      <c r="A3" s="32" t="s">
        <v>182</v>
      </c>
    </row>
    <row r="4" spans="1:1" x14ac:dyDescent="0.2">
      <c r="A4" s="32" t="s">
        <v>186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sheetProtection algorithmName="SHA-512" hashValue="tBt95ssMzQjbumsTun4q2fnWEnLETTVzbBvJo7M1Oce9Hjsq0zUJ9AKqzQ2IRLyX5TdGhdwdCnAVb1mLgNBKaQ==" saltValue="vCNeI8AaRq4Ya/KSnabtw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4" t="s">
        <v>87</v>
      </c>
      <c r="B2" s="18">
        <f>'Donnees pop de l''annee de ref'!C51</f>
        <v>2.2000000000000002</v>
      </c>
      <c r="C2" s="18">
        <f>'Donnees pop de l''annee de ref'!C52</f>
        <v>2.2000000000000002</v>
      </c>
      <c r="D2" s="18">
        <f>'Donnees pop de l''annee de ref'!C53</f>
        <v>2.2000000000000002</v>
      </c>
      <c r="E2" s="18">
        <f>'Donnees pop de l''annee de ref'!C54</f>
        <v>2.2000000000000002</v>
      </c>
      <c r="F2" s="18">
        <f>'Donnees pop de l''annee de ref'!C55</f>
        <v>2.2000000000000002</v>
      </c>
    </row>
    <row r="3" spans="1:6" ht="15.75" customHeight="1" x14ac:dyDescent="0.2">
      <c r="A3" s="4" t="s">
        <v>209</v>
      </c>
      <c r="B3" s="18">
        <f>frac_mam_1month * 2.6</f>
        <v>0.17420000000000002</v>
      </c>
      <c r="C3" s="18">
        <f>frac_mam_1_5months * 2.6</f>
        <v>0.17420000000000002</v>
      </c>
      <c r="D3" s="18">
        <f>frac_mam_6_11months * 2.6</f>
        <v>0.20800000000000002</v>
      </c>
      <c r="E3" s="18">
        <f>frac_mam_12_23months * 2.6</f>
        <v>0.17680000000000001</v>
      </c>
      <c r="F3" s="18">
        <f>frac_mam_24_59months * 2.6</f>
        <v>8.5800000000000001E-2</v>
      </c>
    </row>
    <row r="4" spans="1:6" ht="15.75" customHeight="1" x14ac:dyDescent="0.2">
      <c r="A4" s="4" t="s">
        <v>208</v>
      </c>
      <c r="B4" s="18">
        <f>frac_sam_1month * 2.6</f>
        <v>0.13780000000000001</v>
      </c>
      <c r="C4" s="18">
        <f>frac_sam_1_5months * 2.6</f>
        <v>0.13780000000000001</v>
      </c>
      <c r="D4" s="18">
        <f>frac_sam_6_11months * 2.6</f>
        <v>9.3600000000000003E-2</v>
      </c>
      <c r="E4" s="18">
        <f>frac_sam_12_23months * 2.6</f>
        <v>6.7599999999999993E-2</v>
      </c>
      <c r="F4" s="18">
        <f>frac_sam_24_59months * 2.6</f>
        <v>2.86E-2</v>
      </c>
    </row>
  </sheetData>
  <sheetProtection algorithmName="SHA-512" hashValue="HDuff5LAYQkGcFRWEFq9e+ExI0fp5WTMQjkMV2OtF4UJX4aDisNXvTw/rD5gZ1bPoa7IG4BKcykWkjA5U0QY5w==" saltValue="VcsCEFStY153Fj0kuJ5a0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">
      <c r="A2" s="39" t="s">
        <v>86</v>
      </c>
      <c r="B2" s="7" t="s">
        <v>170</v>
      </c>
      <c r="C2" s="65">
        <v>0</v>
      </c>
      <c r="D2" s="65">
        <f>food_insecure</f>
        <v>0.216</v>
      </c>
      <c r="E2" s="65">
        <f>food_insecure</f>
        <v>0.216</v>
      </c>
      <c r="F2" s="65">
        <f>food_insecure</f>
        <v>0.216</v>
      </c>
      <c r="G2" s="65">
        <f>food_insecure</f>
        <v>0.216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185</v>
      </c>
      <c r="C5" s="65">
        <v>0</v>
      </c>
      <c r="D5" s="65">
        <v>0</v>
      </c>
      <c r="E5" s="65">
        <f>food_insecure</f>
        <v>0.216</v>
      </c>
      <c r="F5" s="65">
        <f>food_insecure</f>
        <v>0.216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191</v>
      </c>
      <c r="C7" s="65">
        <f>diarrhoea_1mo*frac_diarrhea_severe</f>
        <v>4.7210300429184553E-2</v>
      </c>
      <c r="D7" s="65">
        <f>diarrhoea_1_5mo*frac_diarrhea_severe</f>
        <v>4.7210300429184553E-2</v>
      </c>
      <c r="E7" s="65">
        <f>diarrhoea_6_11mo*frac_diarrhea_severe</f>
        <v>4.7210300429184553E-2</v>
      </c>
      <c r="F7" s="65">
        <f>diarrhoea_12_23mo*frac_diarrhea_severe</f>
        <v>4.7210300429184553E-2</v>
      </c>
      <c r="G7" s="65">
        <f>diarrhoea_24_59mo*frac_diarrhea_severe</f>
        <v>4.7210300429184553E-2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192</v>
      </c>
      <c r="C8" s="65">
        <v>0</v>
      </c>
      <c r="D8" s="65">
        <v>0</v>
      </c>
      <c r="E8" s="65">
        <f>food_insecure</f>
        <v>0.216</v>
      </c>
      <c r="F8" s="65">
        <f>food_insecure</f>
        <v>0.216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205</v>
      </c>
      <c r="C9" s="65">
        <v>0</v>
      </c>
      <c r="D9" s="65">
        <v>0</v>
      </c>
      <c r="E9" s="65">
        <f>food_insecure</f>
        <v>0.216</v>
      </c>
      <c r="F9" s="65">
        <f>food_insecure</f>
        <v>0.216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161</v>
      </c>
      <c r="C10" s="65">
        <v>0</v>
      </c>
      <c r="D10" s="65">
        <f>IF(ISBLANK(comm_deliv), frac_children_health_facility,1)</f>
        <v>0.64</v>
      </c>
      <c r="E10" s="65">
        <f>IF(ISBLANK(comm_deliv), frac_children_health_facility,1)</f>
        <v>0.64</v>
      </c>
      <c r="F10" s="65">
        <f>IF(ISBLANK(comm_deliv), frac_children_health_facility,1)</f>
        <v>0.64</v>
      </c>
      <c r="G10" s="65">
        <f>IF(ISBLANK(comm_deliv), frac_children_health_facility,1)</f>
        <v>0.64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4.7210300429184553E-2</v>
      </c>
      <c r="D12" s="65">
        <f>diarrhoea_1_5mo*frac_diarrhea_severe</f>
        <v>4.7210300429184553E-2</v>
      </c>
      <c r="E12" s="65">
        <f>diarrhoea_6_11mo*frac_diarrhea_severe</f>
        <v>4.7210300429184553E-2</v>
      </c>
      <c r="F12" s="65">
        <f>diarrhoea_12_23mo*frac_diarrhea_severe</f>
        <v>4.7210300429184553E-2</v>
      </c>
      <c r="G12" s="65">
        <f>diarrhoea_24_59mo*frac_diarrhea_severe</f>
        <v>4.7210300429184553E-2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0.216</v>
      </c>
      <c r="I15" s="65">
        <f>food_insecure</f>
        <v>0.216</v>
      </c>
      <c r="J15" s="65">
        <f>food_insecure</f>
        <v>0.216</v>
      </c>
      <c r="K15" s="65">
        <f>food_insecure</f>
        <v>0.216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0.84299999999999997</v>
      </c>
      <c r="I18" s="65">
        <f>frac_PW_health_facility</f>
        <v>0.84299999999999997</v>
      </c>
      <c r="J18" s="65">
        <f>frac_PW_health_facility</f>
        <v>0.84299999999999997</v>
      </c>
      <c r="K18" s="65">
        <f>frac_PW_health_facility</f>
        <v>0.84299999999999997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1.24E-2</v>
      </c>
      <c r="I19" s="65">
        <f>frac_malaria_risk</f>
        <v>1.24E-2</v>
      </c>
      <c r="J19" s="65">
        <f>frac_malaria_risk</f>
        <v>1.24E-2</v>
      </c>
      <c r="K19" s="65">
        <f>frac_malaria_risk</f>
        <v>1.24E-2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0.48499999999999999</v>
      </c>
      <c r="M24" s="65">
        <f>famplan_unmet_need</f>
        <v>0.48499999999999999</v>
      </c>
      <c r="N24" s="65">
        <f>famplan_unmet_need</f>
        <v>0.48499999999999999</v>
      </c>
      <c r="O24" s="65">
        <f>famplan_unmet_need</f>
        <v>0.48499999999999999</v>
      </c>
    </row>
    <row r="25" spans="1:15" ht="15.75" customHeight="1" x14ac:dyDescent="0.2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0.1509522657958986</v>
      </c>
      <c r="M25" s="65">
        <f>(1-food_insecure)*(0.49)+food_insecure*(0.7)</f>
        <v>0.53536000000000006</v>
      </c>
      <c r="N25" s="65">
        <f>(1-food_insecure)*(0.49)+food_insecure*(0.7)</f>
        <v>0.53536000000000006</v>
      </c>
      <c r="O25" s="65">
        <f>(1-food_insecure)*(0.49)+food_insecure*(0.7)</f>
        <v>0.53536000000000006</v>
      </c>
    </row>
    <row r="26" spans="1:15" ht="15.75" customHeight="1" x14ac:dyDescent="0.2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6.4693828198242265E-2</v>
      </c>
      <c r="M26" s="65">
        <f>(1-food_insecure)*(0.21)+food_insecure*(0.3)</f>
        <v>0.22944000000000001</v>
      </c>
      <c r="N26" s="65">
        <f>(1-food_insecure)*(0.21)+food_insecure*(0.3)</f>
        <v>0.22944000000000001</v>
      </c>
      <c r="O26" s="65">
        <f>(1-food_insecure)*(0.21)+food_insecure*(0.3)</f>
        <v>0.22944000000000001</v>
      </c>
    </row>
    <row r="27" spans="1:15" ht="15.75" customHeight="1" x14ac:dyDescent="0.2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6.631794104003913E-2</v>
      </c>
      <c r="M27" s="65">
        <f>(1-food_insecure)*(0.3)</f>
        <v>0.23519999999999999</v>
      </c>
      <c r="N27" s="65">
        <f>(1-food_insecure)*(0.3)</f>
        <v>0.23519999999999999</v>
      </c>
      <c r="O27" s="65">
        <f>(1-food_insecure)*(0.3)</f>
        <v>0.23519999999999999</v>
      </c>
    </row>
    <row r="28" spans="1:15" ht="15.75" customHeight="1" x14ac:dyDescent="0.2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0.71803596496582012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186</v>
      </c>
      <c r="C34" s="65">
        <f t="shared" ref="C34:O34" si="3">frac_malaria_risk</f>
        <v>1.24E-2</v>
      </c>
      <c r="D34" s="65">
        <f t="shared" si="3"/>
        <v>1.24E-2</v>
      </c>
      <c r="E34" s="65">
        <f t="shared" si="3"/>
        <v>1.24E-2</v>
      </c>
      <c r="F34" s="65">
        <f t="shared" si="3"/>
        <v>1.24E-2</v>
      </c>
      <c r="G34" s="65">
        <f t="shared" si="3"/>
        <v>1.24E-2</v>
      </c>
      <c r="H34" s="65">
        <f t="shared" si="3"/>
        <v>1.24E-2</v>
      </c>
      <c r="I34" s="65">
        <f t="shared" si="3"/>
        <v>1.24E-2</v>
      </c>
      <c r="J34" s="65">
        <f t="shared" si="3"/>
        <v>1.24E-2</v>
      </c>
      <c r="K34" s="65">
        <f t="shared" si="3"/>
        <v>1.24E-2</v>
      </c>
      <c r="L34" s="65">
        <f t="shared" si="3"/>
        <v>1.24E-2</v>
      </c>
      <c r="M34" s="65">
        <f t="shared" si="3"/>
        <v>1.24E-2</v>
      </c>
      <c r="N34" s="65">
        <f t="shared" si="3"/>
        <v>1.24E-2</v>
      </c>
      <c r="O34" s="65">
        <f t="shared" si="3"/>
        <v>1.24E-2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sheetProtection algorithmName="SHA-512" hashValue="VUrWwF9NdA53YKRN7imWMLnV+EAYrdhB6jDAiHq2p2bEOxuGE7mOo2D5E7NsC1+ihID+ibOsYpeHZCOdFGP8Yw==" saltValue="1Yc0pbVyP48w3jZma/H0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201</v>
      </c>
    </row>
    <row r="2" spans="1:1" x14ac:dyDescent="0.2">
      <c r="A2" s="113" t="s">
        <v>212</v>
      </c>
    </row>
    <row r="3" spans="1:1" x14ac:dyDescent="0.2">
      <c r="A3" s="113" t="s">
        <v>213</v>
      </c>
    </row>
    <row r="4" spans="1:1" x14ac:dyDescent="0.2">
      <c r="A4" s="113" t="s">
        <v>214</v>
      </c>
    </row>
  </sheetData>
  <sheetProtection algorithmName="SHA-512" hashValue="JhAVODMGOIAOob6SIQfaP6AQGQAk2FQZFCmXO7yA+344X7mWYFlTIE02NdVM2YVAddGNMz+naCZfbRXoPDmzmw==" saltValue="eqX2k4e9tDayAeF+v/+oM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9" customHeight="1" x14ac:dyDescent="0.2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CDpemfvZpwiaachXPE2h4yXz1fbW5nbuPQh+crl/vU8L7xJWCXYHQJZEX6aELYgmwkbBkXu0WTOwXKxvF+4MBQ==" saltValue="zBowqtnur8754xKBmIelE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25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tb1ejI+S+s6X50+mBbZW7QF4nxdwLKT56J7A5uVT+F71Djv1j/wA88LSTkAWGiyfceFAMyl5mO0RpEpb0Fy+2w==" saltValue="JXfjfonrSkGd0cXd/g/FV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RYWgWWQ8I2pDfCziiUMUyCv1SFuXWePOLc/2JRpcx07ODgdUo4GKvIeq8B25Y/lo/qBHBRce2Dh3y/TyVQDsGQ==" saltValue="P63Eu5iEFw5jCPY5aMApb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KSKQ5XkCD0f5kLpKBdrNzvwOXlov3GKIWKESEY2lQkWmHcuMINdd+i36OHmB5grD7m0uprt27jW7psoOoMOQ7Q==" saltValue="Qa+P5MfnZokDfwgX97Kt5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97ROMTORxjLi85B9beiYWEbrCGRq2LiLgJZo6SXXO00hm7C6AR7KNtxmAoZNiPS1u/Ok3dhwl1X0lj5qdTPUHg==" saltValue="wd3WZxuxhAebV7IEPnyJhg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245</v>
      </c>
      <c r="C11" s="82"/>
      <c r="D11" s="83"/>
      <c r="E11" s="83"/>
      <c r="F11" s="83"/>
    </row>
    <row r="12" spans="1:6" ht="15.75" customHeight="1" x14ac:dyDescent="0.2">
      <c r="A12" s="71" t="s">
        <v>246</v>
      </c>
      <c r="C12" s="80"/>
      <c r="D12" s="72"/>
      <c r="E12" s="72"/>
      <c r="F12" s="72"/>
    </row>
    <row r="13" spans="1:6" ht="15.75" customHeight="1" x14ac:dyDescent="0.2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251</v>
      </c>
      <c r="C39" s="80"/>
      <c r="D39" s="72"/>
      <c r="E39" s="72"/>
      <c r="F39" s="72"/>
    </row>
    <row r="40" spans="1:6" ht="15.75" customHeight="1" x14ac:dyDescent="0.2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254</v>
      </c>
      <c r="C66" s="80"/>
      <c r="D66" s="72"/>
      <c r="E66" s="72"/>
      <c r="F66" s="72"/>
    </row>
    <row r="67" spans="1:6" ht="15.75" customHeight="1" x14ac:dyDescent="0.2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KPfp08GFNkNZaMpgjFJpW1fbK1ifNM8XdvuWtEjwzorJwkHpbHpnlrUXWhPdprkAxQmGuyYa7EbsurH9+PcSZQ==" saltValue="LzImwrz8myvQhGIgNI/ge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278</v>
      </c>
    </row>
    <row r="29" spans="1:16" x14ac:dyDescent="0.2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271</v>
      </c>
    </row>
    <row r="56" spans="1:16" ht="26.45" customHeight="1" x14ac:dyDescent="0.2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275</v>
      </c>
    </row>
    <row r="65" spans="1:16" ht="26.45" customHeight="1" x14ac:dyDescent="0.2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277</v>
      </c>
    </row>
    <row r="104" spans="1:16" ht="26.45" customHeight="1" x14ac:dyDescent="0.2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YsvIMT3GmK4glrEhNfBjIYFV98khUA5kZ7NCkkoOdlYyhRvS7ZkwJH3kvzOqna34RhuRtPhabXm/sVPivwnjdg==" saltValue="4m0TmYPTfDB0tgctMBnwL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233</v>
      </c>
    </row>
    <row r="2" spans="1:7" ht="14.25" customHeight="1" x14ac:dyDescent="0.2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282</v>
      </c>
    </row>
    <row r="6" spans="1:7" ht="14.25" customHeight="1" x14ac:dyDescent="0.2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283</v>
      </c>
    </row>
    <row r="15" spans="1:7" ht="14.25" customHeight="1" x14ac:dyDescent="0.2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288</v>
      </c>
    </row>
    <row r="20" spans="1:7" s="77" customFormat="1" ht="14.25" customHeight="1" x14ac:dyDescent="0.2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233</v>
      </c>
      <c r="B24" s="84"/>
      <c r="C24" s="84"/>
      <c r="D24" s="84"/>
      <c r="E24" s="84"/>
      <c r="F24" s="84"/>
      <c r="G24" s="84"/>
    </row>
    <row r="25" spans="1:7" x14ac:dyDescent="0.2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291</v>
      </c>
    </row>
    <row r="29" spans="1:7" x14ac:dyDescent="0.2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295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283</v>
      </c>
      <c r="B37" s="84"/>
      <c r="C37" s="84"/>
      <c r="D37" s="84"/>
      <c r="E37" s="84"/>
      <c r="F37" s="84"/>
      <c r="G37" s="84"/>
    </row>
    <row r="38" spans="1:7" x14ac:dyDescent="0.2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300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233</v>
      </c>
      <c r="B47" s="84"/>
      <c r="C47" s="84"/>
      <c r="D47" s="84"/>
      <c r="E47" s="84"/>
      <c r="F47" s="84"/>
      <c r="G47" s="84"/>
    </row>
    <row r="48" spans="1:7" x14ac:dyDescent="0.2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304</v>
      </c>
    </row>
    <row r="52" spans="1:7" x14ac:dyDescent="0.2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308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283</v>
      </c>
      <c r="B60" s="84"/>
      <c r="C60" s="84"/>
      <c r="D60" s="84"/>
      <c r="E60" s="84"/>
      <c r="F60" s="84"/>
      <c r="G60" s="84"/>
    </row>
    <row r="61" spans="1:7" x14ac:dyDescent="0.2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313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z4gnEp8n8TA7IEZb7Qt231baMqiWUzIUU8Y1ZLTqa5jpzaYSMCNm/4yfLBpARhpI72jTgifrKr228zqs/58G4Q==" saltValue="HIKgU7MCxhe26S3FXUYNM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HJ5Ko3YjwcpfqpzRUVKfwiZ6n5PjZcC5U1dfP7KTTrAGJKopdfxp9WWLEII82fPMVdCLgN5tieloXmQIJg0vEA==" saltValue="HPZ0LRYStmG51aEFgGaC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">
      <c r="A2" s="71" t="s">
        <v>319</v>
      </c>
    </row>
    <row r="3" spans="1:15" x14ac:dyDescent="0.2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320</v>
      </c>
      <c r="B17" s="85"/>
    </row>
    <row r="18" spans="1:15" x14ac:dyDescent="0.2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">
      <c r="A25" s="71" t="s">
        <v>321</v>
      </c>
    </row>
    <row r="26" spans="1:15" x14ac:dyDescent="0.2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323</v>
      </c>
      <c r="B40" s="85"/>
    </row>
    <row r="41" spans="1:15" x14ac:dyDescent="0.2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">
      <c r="A48" s="71" t="s">
        <v>322</v>
      </c>
    </row>
    <row r="49" spans="1:15" x14ac:dyDescent="0.2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324</v>
      </c>
      <c r="B63" s="85"/>
    </row>
    <row r="64" spans="1:15" x14ac:dyDescent="0.2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XUFVNqM4CWkJFgkicIGHRAj+0+Q6jOwrgkY8FvS+efklYu5uBWzq5XA061lkWu5177o+57x/kvEowAaFbdO3vw==" saltValue="yTBJkK0O7B1FLqpqLTyGM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">
      <c r="A2" s="71" t="s">
        <v>325</v>
      </c>
    </row>
    <row r="3" spans="1:7" x14ac:dyDescent="0.2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326</v>
      </c>
      <c r="B4" s="85"/>
      <c r="C4" s="97"/>
      <c r="D4" s="97"/>
      <c r="E4" s="97"/>
      <c r="F4" s="97"/>
      <c r="G4" s="97"/>
    </row>
    <row r="5" spans="1:7" x14ac:dyDescent="0.2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331</v>
      </c>
    </row>
    <row r="8" spans="1:7" x14ac:dyDescent="0.2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">
      <c r="A9" s="71" t="s">
        <v>327</v>
      </c>
    </row>
    <row r="10" spans="1:7" x14ac:dyDescent="0.2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328</v>
      </c>
      <c r="B11" s="85"/>
      <c r="C11" s="97"/>
      <c r="D11" s="97"/>
      <c r="E11" s="97"/>
      <c r="F11" s="97"/>
      <c r="G11" s="97"/>
    </row>
    <row r="12" spans="1:7" x14ac:dyDescent="0.2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332</v>
      </c>
    </row>
    <row r="15" spans="1:7" x14ac:dyDescent="0.2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">
      <c r="A16" s="71" t="s">
        <v>329</v>
      </c>
    </row>
    <row r="17" spans="1:7" x14ac:dyDescent="0.2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330</v>
      </c>
      <c r="B18" s="85"/>
      <c r="C18" s="97"/>
      <c r="D18" s="97"/>
      <c r="E18" s="97"/>
      <c r="F18" s="97"/>
      <c r="G18" s="97"/>
    </row>
    <row r="19" spans="1:7" x14ac:dyDescent="0.2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z2uIiXs4ogK9LUsXj0dLtXWBUCV4vAjc/m4KUNGa0rBTwHRGr52ivq98CR38XvmDHx6UaIjHLvUFXxPqYXQjGQ==" saltValue="n94Og9Pef25MNBMjZ3XhX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331</v>
      </c>
      <c r="B55" s="112"/>
      <c r="C55" s="112"/>
    </row>
    <row r="56" spans="1:8" x14ac:dyDescent="0.2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332</v>
      </c>
      <c r="B110" s="112"/>
      <c r="C110" s="112"/>
    </row>
    <row r="111" spans="1:8" x14ac:dyDescent="0.2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rBHayNL1YhS5t/1w4HBhbfz56NvuGXpLmcS5sAKOqVHe7d2SldFwF6BMxCcXrjfxq+vBIbYcK7njbnYnH2TUuQ==" saltValue="3acOA5bNZTKMy+gm23GP1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331</v>
      </c>
    </row>
    <row r="10" spans="1:8" x14ac:dyDescent="0.2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332</v>
      </c>
    </row>
    <row r="19" spans="1:7" x14ac:dyDescent="0.2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Jf2aMHNtq1Aw6TJjz7ylyIgsNfMhAmB4ELt0uqOmYMHmLV/lLOVU66mzy4q7Qnzmy7MH7q0m6+uZAxav3+yM9Q==" saltValue="WmhgzdMO31xghXgKggcp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keywords>lang=fr</cp:keywords>
  <cp:lastModifiedBy>Nick Scott</cp:lastModifiedBy>
  <dcterms:created xsi:type="dcterms:W3CDTF">2017-08-01T10:42:13Z</dcterms:created>
  <dcterms:modified xsi:type="dcterms:W3CDTF">2022-02-02T07:58:45Z</dcterms:modified>
</cp:coreProperties>
</file>