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794E10C2-D676-4360-A338-0C44E4727F29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I38" i="2" s="1"/>
  <c r="G38" i="2"/>
  <c r="H11" i="2"/>
  <c r="G11" i="2"/>
  <c r="H10" i="2"/>
  <c r="G10" i="2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H3" i="2"/>
  <c r="G3" i="2"/>
  <c r="H2" i="2"/>
  <c r="G2" i="2"/>
  <c r="I2" i="2" s="1"/>
  <c r="A2" i="2"/>
  <c r="A31" i="2" s="1"/>
  <c r="C33" i="1"/>
  <c r="C20" i="1"/>
  <c r="I4" i="2" l="1"/>
  <c r="I8" i="2"/>
  <c r="A35" i="2"/>
  <c r="I6" i="2"/>
  <c r="I10" i="2"/>
  <c r="A24" i="2"/>
  <c r="I3" i="2"/>
  <c r="I7" i="2"/>
  <c r="I11" i="2"/>
  <c r="A26" i="2"/>
  <c r="A3" i="2"/>
  <c r="A25" i="2"/>
  <c r="A27" i="2"/>
  <c r="A39" i="2"/>
  <c r="A18" i="2"/>
  <c r="A32" i="2"/>
  <c r="A34" i="2"/>
  <c r="A19" i="2"/>
  <c r="A16" i="2"/>
  <c r="A17" i="2"/>
  <c r="A33" i="2"/>
  <c r="A20" i="2"/>
  <c r="A13" i="2"/>
  <c r="A21" i="2"/>
  <c r="A29" i="2"/>
  <c r="A37" i="2"/>
  <c r="A28" i="2"/>
  <c r="A14" i="2"/>
  <c r="A22" i="2"/>
  <c r="A30" i="2"/>
  <c r="A38" i="2"/>
  <c r="A40" i="2"/>
  <c r="D58" i="20"/>
  <c r="A4" i="2"/>
  <c r="A5" i="2" s="1"/>
  <c r="A6" i="2" s="1"/>
  <c r="A7" i="2" s="1"/>
  <c r="A8" i="2" s="1"/>
  <c r="A9" i="2" s="1"/>
  <c r="A10" i="2" s="1"/>
  <c r="A11" i="2" s="1"/>
  <c r="A12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<sst xmlns="http://schemas.openxmlformats.org/spreadsheetml/2006/main" count="2092" uniqueCount="337">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</sst>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2979676.375</v>
      </c>
    </row>
    <row r="8" spans="1:3" ht="15" customHeight="1" x14ac:dyDescent="0.2">
      <c r="B8" s="7" t="s">
        <v>19</v>
      </c>
      <c r="C8" s="46">
        <v>0.46700000000000003</v>
      </c>
    </row>
    <row r="9" spans="1:3" ht="15" customHeight="1" x14ac:dyDescent="0.2">
      <c r="B9" s="7" t="s">
        <v>20</v>
      </c>
      <c r="C9" s="47">
        <v>0.86</v>
      </c>
    </row>
    <row r="10" spans="1:3" ht="15" customHeight="1" x14ac:dyDescent="0.2">
      <c r="B10" s="7" t="s">
        <v>21</v>
      </c>
      <c r="C10" s="47">
        <v>0.12396960258483899</v>
      </c>
    </row>
    <row r="11" spans="1:3" ht="15" customHeight="1" x14ac:dyDescent="0.2">
      <c r="B11" s="7" t="s">
        <v>22</v>
      </c>
      <c r="C11" s="46">
        <v>0.31</v>
      </c>
    </row>
    <row r="12" spans="1:3" ht="15" customHeight="1" x14ac:dyDescent="0.2">
      <c r="B12" s="7" t="s">
        <v>23</v>
      </c>
      <c r="C12" s="46">
        <v>0.25800000000000001</v>
      </c>
    </row>
    <row r="13" spans="1:3" ht="15" customHeight="1" x14ac:dyDescent="0.2">
      <c r="B13" s="7" t="s">
        <v>24</v>
      </c>
      <c r="C13" s="46">
        <v>0.82499999999999996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0.1394</v>
      </c>
    </row>
    <row r="24" spans="1:3" ht="15" customHeight="1" x14ac:dyDescent="0.2">
      <c r="B24" s="12" t="s">
        <v>33</v>
      </c>
      <c r="C24" s="47">
        <v>0.44390000000000002</v>
      </c>
    </row>
    <row r="25" spans="1:3" ht="15" customHeight="1" x14ac:dyDescent="0.2">
      <c r="B25" s="12" t="s">
        <v>34</v>
      </c>
      <c r="C25" s="47">
        <v>0.33229999999999998</v>
      </c>
    </row>
    <row r="26" spans="1:3" ht="15" customHeight="1" x14ac:dyDescent="0.2">
      <c r="B26" s="12" t="s">
        <v>35</v>
      </c>
      <c r="C26" s="47">
        <v>8.4399999999999989E-2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0.17599999999999999</v>
      </c>
    </row>
    <row r="30" spans="1:3" ht="14.25" customHeight="1" x14ac:dyDescent="0.2">
      <c r="B30" s="22" t="s">
        <v>38</v>
      </c>
      <c r="C30" s="49">
        <v>6.2E-2</v>
      </c>
    </row>
    <row r="31" spans="1:3" ht="14.25" customHeight="1" x14ac:dyDescent="0.2">
      <c r="B31" s="22" t="s">
        <v>39</v>
      </c>
      <c r="C31" s="49">
        <v>0.17299999999999999</v>
      </c>
    </row>
    <row r="32" spans="1:3" ht="14.25" customHeight="1" x14ac:dyDescent="0.2">
      <c r="B32" s="22" t="s">
        <v>40</v>
      </c>
      <c r="C32" s="49">
        <v>0.58899999999999997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33.2599904129425</v>
      </c>
    </row>
    <row r="38" spans="1:5" ht="15" customHeight="1" x14ac:dyDescent="0.2">
      <c r="B38" s="28" t="s">
        <v>45</v>
      </c>
      <c r="C38" s="117">
        <v>69.095998599304593</v>
      </c>
      <c r="D38" s="9"/>
      <c r="E38" s="10"/>
    </row>
    <row r="39" spans="1:5" ht="15" customHeight="1" x14ac:dyDescent="0.2">
      <c r="B39" s="28" t="s">
        <v>46</v>
      </c>
      <c r="C39" s="117">
        <v>113.790418264655</v>
      </c>
      <c r="D39" s="9"/>
      <c r="E39" s="9"/>
    </row>
    <row r="40" spans="1:5" ht="15" customHeight="1" x14ac:dyDescent="0.2">
      <c r="B40" s="28" t="s">
        <v>47</v>
      </c>
      <c r="C40" s="117">
        <v>1140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27.4655092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2.0965999999999999E-2</v>
      </c>
      <c r="D45" s="9"/>
    </row>
    <row r="46" spans="1:5" ht="15.75" customHeight="1" x14ac:dyDescent="0.2">
      <c r="B46" s="28" t="s">
        <v>52</v>
      </c>
      <c r="C46" s="47">
        <v>0.10960979999999999</v>
      </c>
      <c r="D46" s="9"/>
    </row>
    <row r="47" spans="1:5" ht="15.75" customHeight="1" x14ac:dyDescent="0.2">
      <c r="B47" s="28" t="s">
        <v>53</v>
      </c>
      <c r="C47" s="47">
        <v>0.34691959999999999</v>
      </c>
      <c r="D47" s="9"/>
      <c r="E47" s="10"/>
    </row>
    <row r="48" spans="1:5" ht="15" customHeight="1" x14ac:dyDescent="0.2">
      <c r="B48" s="28" t="s">
        <v>54</v>
      </c>
      <c r="C48" s="48">
        <v>0.52250459999999999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0.43290950274943962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Merwoxv9ODQn2Sg9mcdWS9fAa3hQBAV0wkYAjw3sQhoRV0iAqLylO9PgrUsKUKywGqyw1giaD94iR1ZfRsDdgg==" saltValue="zakERbmwAacWzy+0Nm+N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7.5279257757830592E-2</v>
      </c>
      <c r="C2" s="115">
        <v>0.95</v>
      </c>
      <c r="D2" s="116">
        <v>35.834023182075242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47.385692178916713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66.429565189928027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0.144735353400232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15.0449415094118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15.0449415094118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15.0449415094118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15.0449415094118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15.0449415094118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15.0449415094118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0.35066619999999998</v>
      </c>
      <c r="C16" s="115">
        <v>0.95</v>
      </c>
      <c r="D16" s="116">
        <v>0.24753065261816909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0.23353191379999999</v>
      </c>
      <c r="C18" s="115">
        <v>0.95</v>
      </c>
      <c r="D18" s="116">
        <v>1.6361723633111671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0.23353191379999999</v>
      </c>
      <c r="C19" s="115">
        <v>0.95</v>
      </c>
      <c r="D19" s="116">
        <v>1.6361723633111671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0.27213298800000002</v>
      </c>
      <c r="C21" s="115">
        <v>0.95</v>
      </c>
      <c r="D21" s="116">
        <v>1.3660250985983859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25.638805136545979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4.9287239443093789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0.20364258479345901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0.11042945832014101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21.80411146065811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0.204562149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0.104</v>
      </c>
      <c r="C29" s="115">
        <v>0.95</v>
      </c>
      <c r="D29" s="116">
        <v>62.990389674195526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2.9247513411599648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0.46793811090654153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0.13487757680000001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0.77311070000000004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0.19245023349485399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5.8180937799882412E-2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8.1134342608599326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8.3424832784475406E-2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7T50LgOVw+e6v0aQ62z7zW21c3LPMNh21GtVYwtsuiztTWMt/AvXN/BQAElRR4FwM3tt+RuuQLg92zfUGaHbBA==" saltValue="+EJCLCHXP47EjeANB0DDa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P1PLYJ2bEItKAc2yP21SfDPR1aS1HLcvZOH5xJ7vmuW+rIprhAQFe8e4oE1+KPHTZD46c+TY/XFErtiPCae5Ww==" saltValue="yHQVAc+0KQCS5IaTFdHqx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bclkyVlLsZrNpNooImwY6BNnzenJLufKyokH76h3PKbncHoZi2u+BfXSuqdjnlbo0dvl05HMwfau7nSJVhmwqQ==" saltValue="T+ymsQAaVXgfke3iIinuH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0.24942959080000002</v>
      </c>
      <c r="C3" s="18">
        <f>frac_mam_1_5months * 2.6</f>
        <v>0.24942959080000002</v>
      </c>
      <c r="D3" s="18">
        <f>frac_mam_6_11months * 2.6</f>
        <v>0.33401945199999999</v>
      </c>
      <c r="E3" s="18">
        <f>frac_mam_12_23months * 2.6</f>
        <v>0.32862255400000001</v>
      </c>
      <c r="F3" s="18">
        <f>frac_mam_24_59months * 2.6</f>
        <v>0.20974595199999999</v>
      </c>
    </row>
    <row r="4" spans="1:6" ht="15.75" customHeight="1" x14ac:dyDescent="0.2">
      <c r="A4" s="4" t="s">
        <v>208</v>
      </c>
      <c r="B4" s="18">
        <f>frac_sam_1month * 2.6</f>
        <v>0.15739701640000001</v>
      </c>
      <c r="C4" s="18">
        <f>frac_sam_1_5months * 2.6</f>
        <v>0.15739701640000001</v>
      </c>
      <c r="D4" s="18">
        <f>frac_sam_6_11months * 2.6</f>
        <v>0.20050903340000001</v>
      </c>
      <c r="E4" s="18">
        <f>frac_sam_12_23months * 2.6</f>
        <v>0.16705018980000003</v>
      </c>
      <c r="F4" s="18">
        <f>frac_sam_24_59months * 2.6</f>
        <v>8.4927414000000007E-2</v>
      </c>
    </row>
  </sheetData>
  <sheetProtection algorithmName="SHA-512" hashValue="GmxqKvNGh6mWPXD3aXjJPLPAB2O2oJ4FwuRmAkjXBJ/63gZA6A7V0NqRDLJyF3f9MA79vchYnekzIx7Xh3fMVg==" saltValue="odqJ/gj9r/3XqRX9IJEj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0.46700000000000003</v>
      </c>
      <c r="E2" s="65">
        <f>food_insecure</f>
        <v>0.46700000000000003</v>
      </c>
      <c r="F2" s="65">
        <f>food_insecure</f>
        <v>0.46700000000000003</v>
      </c>
      <c r="G2" s="65">
        <f>food_insecure</f>
        <v>0.46700000000000003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0.46700000000000003</v>
      </c>
      <c r="F5" s="65">
        <f>food_insecure</f>
        <v>0.46700000000000003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0.46700000000000003</v>
      </c>
      <c r="F8" s="65">
        <f>food_insecure</f>
        <v>0.46700000000000003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0.46700000000000003</v>
      </c>
      <c r="F9" s="65">
        <f>food_insecure</f>
        <v>0.46700000000000003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0.25800000000000001</v>
      </c>
      <c r="E10" s="65">
        <f>IF(ISBLANK(comm_deliv), frac_children_health_facility,1)</f>
        <v>0.25800000000000001</v>
      </c>
      <c r="F10" s="65">
        <f>IF(ISBLANK(comm_deliv), frac_children_health_facility,1)</f>
        <v>0.25800000000000001</v>
      </c>
      <c r="G10" s="65">
        <f>IF(ISBLANK(comm_deliv), frac_children_health_facility,1)</f>
        <v>0.25800000000000001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0.46700000000000003</v>
      </c>
      <c r="I15" s="65">
        <f>food_insecure</f>
        <v>0.46700000000000003</v>
      </c>
      <c r="J15" s="65">
        <f>food_insecure</f>
        <v>0.46700000000000003</v>
      </c>
      <c r="K15" s="65">
        <f>food_insecure</f>
        <v>0.46700000000000003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0.31</v>
      </c>
      <c r="I18" s="65">
        <f>frac_PW_health_facility</f>
        <v>0.31</v>
      </c>
      <c r="J18" s="65">
        <f>frac_PW_health_facility</f>
        <v>0.31</v>
      </c>
      <c r="K18" s="65">
        <f>frac_PW_health_facility</f>
        <v>0.31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0.86</v>
      </c>
      <c r="I19" s="65">
        <f>frac_malaria_risk</f>
        <v>0.86</v>
      </c>
      <c r="J19" s="65">
        <f>frac_malaria_risk</f>
        <v>0.86</v>
      </c>
      <c r="K19" s="65">
        <f>frac_malaria_risk</f>
        <v>0.86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0.82499999999999996</v>
      </c>
      <c r="M24" s="65">
        <f>famplan_unmet_need</f>
        <v>0.82499999999999996</v>
      </c>
      <c r="N24" s="65">
        <f>famplan_unmet_need</f>
        <v>0.82499999999999996</v>
      </c>
      <c r="O24" s="65">
        <f>famplan_unmet_need</f>
        <v>0.82499999999999996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0.51516719580793369</v>
      </c>
      <c r="M25" s="65">
        <f>(1-food_insecure)*(0.49)+food_insecure*(0.7)</f>
        <v>0.58806999999999998</v>
      </c>
      <c r="N25" s="65">
        <f>(1-food_insecure)*(0.49)+food_insecure*(0.7)</f>
        <v>0.58806999999999998</v>
      </c>
      <c r="O25" s="65">
        <f>(1-food_insecure)*(0.49)+food_insecure*(0.7)</f>
        <v>0.58806999999999998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0.220785941060543</v>
      </c>
      <c r="M26" s="65">
        <f>(1-food_insecure)*(0.21)+food_insecure*(0.3)</f>
        <v>0.25202999999999998</v>
      </c>
      <c r="N26" s="65">
        <f>(1-food_insecure)*(0.21)+food_insecure*(0.3)</f>
        <v>0.25202999999999998</v>
      </c>
      <c r="O26" s="65">
        <f>(1-food_insecure)*(0.21)+food_insecure*(0.3)</f>
        <v>0.25202999999999998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0.14007726054668421</v>
      </c>
      <c r="M27" s="65">
        <f>(1-food_insecure)*(0.3)</f>
        <v>0.15989999999999996</v>
      </c>
      <c r="N27" s="65">
        <f>(1-food_insecure)*(0.3)</f>
        <v>0.15989999999999996</v>
      </c>
      <c r="O27" s="65">
        <f>(1-food_insecure)*(0.3)</f>
        <v>0.15989999999999996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0.12396960258483899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0.86</v>
      </c>
      <c r="D34" s="65">
        <f t="shared" si="3"/>
        <v>0.86</v>
      </c>
      <c r="E34" s="65">
        <f t="shared" si="3"/>
        <v>0.86</v>
      </c>
      <c r="F34" s="65">
        <f t="shared" si="3"/>
        <v>0.86</v>
      </c>
      <c r="G34" s="65">
        <f t="shared" si="3"/>
        <v>0.86</v>
      </c>
      <c r="H34" s="65">
        <f t="shared" si="3"/>
        <v>0.86</v>
      </c>
      <c r="I34" s="65">
        <f t="shared" si="3"/>
        <v>0.86</v>
      </c>
      <c r="J34" s="65">
        <f t="shared" si="3"/>
        <v>0.86</v>
      </c>
      <c r="K34" s="65">
        <f t="shared" si="3"/>
        <v>0.86</v>
      </c>
      <c r="L34" s="65">
        <f t="shared" si="3"/>
        <v>0.86</v>
      </c>
      <c r="M34" s="65">
        <f t="shared" si="3"/>
        <v>0.86</v>
      </c>
      <c r="N34" s="65">
        <f t="shared" si="3"/>
        <v>0.86</v>
      </c>
      <c r="O34" s="65">
        <f t="shared" si="3"/>
        <v>0.86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pV23Mg8aXemh2WnotpvNsJ4DZpwqXcWVnxF23856GyU/Tl5m698VU2Nb3sNfyg1TsFYIld6F1YW/hOmOqPbgNA==" saltValue="cPXXlorGq7JPtWyZJt5r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STc2ozQlcHy5APsb/AMpiZ41m11bkIzCgGUp+v7vZTJLtI0otFgYoEHQx2r3LwUFchgUY91GsridhA2kf69Y1Q==" saltValue="ZPISDIbJaPbJOzQT91/q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Z05xMkkEsNCRwAleDaNqXRii/fmXL94vQoYJh808MNEDPJ5Y3mXT09Tu8XAqeAL2qZJxvLEqa5dupa176zki4g==" saltValue="aSkU2J0txlrr6zEWtH4Y1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U2A0LySFImqXK7RP48qI2YmFWz9blw/D0h5Oaeqh7rQ+3PCGkBaBX7TVTGZqpyUDpqeptMHFz7LLQqO/iIOMrA==" saltValue="PCXDLe43UGd7+aR4yA/T2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bNmdAPl26I9MUE22ndOkaYM5E6Iw8vikZhQTv/VM7hiqlqwdMtsKIv1MPlHUkx1RJAGPW7/mDNZNbyfvqGRSlA==" saltValue="f+RPXKhV2ZN4gMSbV9NdW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4N8FSKd/QhImRgaTODcnc5BT8ZqWsV4Q1LLhkncIg1hmzH5CdQrO8Oqa5qqJSL7+jweWr0uBeLVii0lGxIVcPQ==" saltValue="0qcaM5Ts7HCtDLW/ckPe8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682198.48040000012</v>
      </c>
      <c r="C2" s="53">
        <v>939000</v>
      </c>
      <c r="D2" s="53">
        <v>1431000</v>
      </c>
      <c r="E2" s="53">
        <v>914000</v>
      </c>
      <c r="F2" s="53">
        <v>559000</v>
      </c>
      <c r="G2" s="14">
        <f t="shared" ref="G2:G11" si="0">C2+D2+E2+F2</f>
        <v>3843000</v>
      </c>
      <c r="H2" s="14">
        <f t="shared" ref="H2:H11" si="1">(B2 + stillbirth*B2/(1000-stillbirth))/(1-abortion)</f>
        <v>735287.80060262338</v>
      </c>
      <c r="I2" s="14">
        <f t="shared" ref="I2:I11" si="2">G2-H2</f>
        <v>3107712.1993973767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693014.76480000024</v>
      </c>
      <c r="C3" s="53">
        <v>966000</v>
      </c>
      <c r="D3" s="53">
        <v>1480000</v>
      </c>
      <c r="E3" s="53">
        <v>950000</v>
      </c>
      <c r="F3" s="53">
        <v>582000</v>
      </c>
      <c r="G3" s="14">
        <f t="shared" si="0"/>
        <v>3978000</v>
      </c>
      <c r="H3" s="14">
        <f t="shared" si="1"/>
        <v>746945.81831398699</v>
      </c>
      <c r="I3" s="14">
        <f t="shared" si="2"/>
        <v>3231054.181686013</v>
      </c>
    </row>
    <row r="4" spans="1:9" ht="15.75" customHeight="1" x14ac:dyDescent="0.2">
      <c r="A4" s="7">
        <f t="shared" si="3"/>
        <v>2023</v>
      </c>
      <c r="B4" s="52">
        <v>703630.07880000013</v>
      </c>
      <c r="C4" s="53">
        <v>994000</v>
      </c>
      <c r="D4" s="53">
        <v>1532000</v>
      </c>
      <c r="E4" s="53">
        <v>989000</v>
      </c>
      <c r="F4" s="53">
        <v>606000</v>
      </c>
      <c r="G4" s="14">
        <f t="shared" si="0"/>
        <v>4121000</v>
      </c>
      <c r="H4" s="14">
        <f t="shared" si="1"/>
        <v>758387.22592191596</v>
      </c>
      <c r="I4" s="14">
        <f t="shared" si="2"/>
        <v>3362612.7740780842</v>
      </c>
    </row>
    <row r="5" spans="1:9" ht="15.75" customHeight="1" x14ac:dyDescent="0.2">
      <c r="A5" s="7">
        <f t="shared" si="3"/>
        <v>2024</v>
      </c>
      <c r="B5" s="52">
        <v>714070.8396000003</v>
      </c>
      <c r="C5" s="53">
        <v>1022000</v>
      </c>
      <c r="D5" s="53">
        <v>1585000</v>
      </c>
      <c r="E5" s="53">
        <v>1028000</v>
      </c>
      <c r="F5" s="53">
        <v>631000</v>
      </c>
      <c r="G5" s="14">
        <f t="shared" si="0"/>
        <v>4266000</v>
      </c>
      <c r="H5" s="14">
        <f t="shared" si="1"/>
        <v>769640.49643748335</v>
      </c>
      <c r="I5" s="14">
        <f t="shared" si="2"/>
        <v>3496359.5035625165</v>
      </c>
    </row>
    <row r="6" spans="1:9" ht="15.75" customHeight="1" x14ac:dyDescent="0.2">
      <c r="A6" s="7">
        <f t="shared" si="3"/>
        <v>2025</v>
      </c>
      <c r="B6" s="52">
        <v>724284.2</v>
      </c>
      <c r="C6" s="53">
        <v>1050000</v>
      </c>
      <c r="D6" s="53">
        <v>1638000</v>
      </c>
      <c r="E6" s="53">
        <v>1070000</v>
      </c>
      <c r="F6" s="53">
        <v>656000</v>
      </c>
      <c r="G6" s="14">
        <f t="shared" si="0"/>
        <v>4414000</v>
      </c>
      <c r="H6" s="14">
        <f t="shared" si="1"/>
        <v>780648.67004243552</v>
      </c>
      <c r="I6" s="14">
        <f t="shared" si="2"/>
        <v>3633351.3299575644</v>
      </c>
    </row>
    <row r="7" spans="1:9" ht="15.75" customHeight="1" x14ac:dyDescent="0.2">
      <c r="A7" s="7">
        <f t="shared" si="3"/>
        <v>2026</v>
      </c>
      <c r="B7" s="52">
        <v>734323.63639999996</v>
      </c>
      <c r="C7" s="53">
        <v>1078000</v>
      </c>
      <c r="D7" s="53">
        <v>1690000</v>
      </c>
      <c r="E7" s="53">
        <v>1112000</v>
      </c>
      <c r="F7" s="53">
        <v>683000</v>
      </c>
      <c r="G7" s="14">
        <f t="shared" si="0"/>
        <v>4563000</v>
      </c>
      <c r="H7" s="14">
        <f t="shared" si="1"/>
        <v>791469.38471995515</v>
      </c>
      <c r="I7" s="14">
        <f t="shared" si="2"/>
        <v>3771530.6152800447</v>
      </c>
    </row>
    <row r="8" spans="1:9" ht="15.75" customHeight="1" x14ac:dyDescent="0.2">
      <c r="A8" s="7">
        <f t="shared" si="3"/>
        <v>2027</v>
      </c>
      <c r="B8" s="52">
        <v>744079.55219999992</v>
      </c>
      <c r="C8" s="53">
        <v>1106000</v>
      </c>
      <c r="D8" s="53">
        <v>1743000</v>
      </c>
      <c r="E8" s="53">
        <v>1155000</v>
      </c>
      <c r="F8" s="53">
        <v>711000</v>
      </c>
      <c r="G8" s="14">
        <f t="shared" si="0"/>
        <v>4715000</v>
      </c>
      <c r="H8" s="14">
        <f t="shared" si="1"/>
        <v>801984.51496070309</v>
      </c>
      <c r="I8" s="14">
        <f t="shared" si="2"/>
        <v>3913015.485039297</v>
      </c>
    </row>
    <row r="9" spans="1:9" ht="15.75" customHeight="1" x14ac:dyDescent="0.2">
      <c r="A9" s="7">
        <f t="shared" si="3"/>
        <v>2028</v>
      </c>
      <c r="B9" s="52">
        <v>753577.96559999988</v>
      </c>
      <c r="C9" s="53">
        <v>1135000</v>
      </c>
      <c r="D9" s="53">
        <v>1796000</v>
      </c>
      <c r="E9" s="53">
        <v>1200000</v>
      </c>
      <c r="F9" s="53">
        <v>740000</v>
      </c>
      <c r="G9" s="14">
        <f t="shared" si="0"/>
        <v>4871000</v>
      </c>
      <c r="H9" s="14">
        <f t="shared" si="1"/>
        <v>812222.10372520087</v>
      </c>
      <c r="I9" s="14">
        <f t="shared" si="2"/>
        <v>4058777.896274799</v>
      </c>
    </row>
    <row r="10" spans="1:9" ht="15.75" customHeight="1" x14ac:dyDescent="0.2">
      <c r="A10" s="7">
        <f t="shared" si="3"/>
        <v>2029</v>
      </c>
      <c r="B10" s="52">
        <v>762806.31979999982</v>
      </c>
      <c r="C10" s="53">
        <v>1164000</v>
      </c>
      <c r="D10" s="53">
        <v>1851000</v>
      </c>
      <c r="E10" s="53">
        <v>1247000</v>
      </c>
      <c r="F10" s="53">
        <v>770000</v>
      </c>
      <c r="G10" s="14">
        <f t="shared" si="0"/>
        <v>5032000</v>
      </c>
      <c r="H10" s="14">
        <f t="shared" si="1"/>
        <v>822168.61703159427</v>
      </c>
      <c r="I10" s="14">
        <f t="shared" si="2"/>
        <v>4209831.3829684053</v>
      </c>
    </row>
    <row r="11" spans="1:9" ht="15.75" customHeight="1" x14ac:dyDescent="0.2">
      <c r="A11" s="7">
        <f t="shared" si="3"/>
        <v>2030</v>
      </c>
      <c r="B11" s="52">
        <v>771680.14000000013</v>
      </c>
      <c r="C11" s="53">
        <v>1193000</v>
      </c>
      <c r="D11" s="53">
        <v>1907000</v>
      </c>
      <c r="E11" s="53">
        <v>1294000</v>
      </c>
      <c r="F11" s="53">
        <v>802000</v>
      </c>
      <c r="G11" s="14">
        <f t="shared" si="0"/>
        <v>5196000</v>
      </c>
      <c r="H11" s="14">
        <f t="shared" si="1"/>
        <v>831733.00617238448</v>
      </c>
      <c r="I11" s="14">
        <f t="shared" si="2"/>
        <v>4364266.9938276159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gBuAPXwEAdLYWBeadTfCXB6YkpkNXcrMi5lAuAdGVBUGBf5aBj0Qi+zYTNrAuydFMb0kiTFeFH+wY+yzeDFD+A==" saltValue="5Uagcc1p5x8I/twJRHO1d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WcHX4eFB2Y5udPYWnSektiQQ5LsWQQnj4E3i3Z1+VLtHqlmbX1oO/HZl+yqq7nNtEXuneLT5aftMmwrdD5mxVA==" saltValue="yUqhFgTVoEzi0S4QwOW6i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VFFeH0I3kUlXOjjTAkEMCfoPMLMm/ebGzrNIdhu7cKXTZ72dxz7vqUII6ioFzFIxKaJYgSd7LnBQVY8/1ulslA==" saltValue="hxUqjjXZwtBnD5HO29LT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1uP94XmonvjLmPHafAjyRf2VyAIXTuRGzJQEfOQWmE84mhoajL0hxzp8nhtyjWCXBtx6MkJTBtGHU2N6Cox/kg==" saltValue="sJvzeT6fndWzxFLRQvqC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CHNduSebgyEE3GpfvrqIedVFEGuhjag17Y8IC38WtTmqFVcN189xDUCE/ECUhvdQhU9XuzcswpmSSJbTotU0pw==" saltValue="+EN/iWotgF3TBf2CzN714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8URZcCH0zY2AiY7tfgEBxhdr0UqbR4+i7Q2+Mat1Hfqt5DG+cbJaj7yFHVGp6SChj9MRJ5+a25ycCP0PmA+buQ==" saltValue="qTiLFY+8r2FkRlzX68sN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08rHLwqeeRlxHTG/bCiXsYeQ78IJxXvcHckqy/UB9N3iEGzhk3EMYmLszHzHv5cO0Cod1bAnvdpwDvXn5aYoBA==" saltValue="k0UsYVhvDm/IzY8zjKPt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bxVY9D2Vt5Lc2SvlvZjminSQRY/vGdSxzn7fW4ZpdwgD+s65sLK2IxDBNUM8qBVBmuKcPMP/JSSCXlv0hnTGpg==" saltValue="R9WsI8AwijfIDZxCUg/xh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NBh38s44McTI+m4MRRep+UzjTG+ntFWLiuysa6YKduETJW016B1c6UcMaMI54u0QZdn9KqH3VEumOsQRlg2OBA==" saltValue="wPd8wf591HO77IzU1bXD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e9vRvv1PK34o50FwtSL+Gox5zsbD/vEJmLjcNZ8TIeU1KpEMZHjAaJNx9TqLClRVjkx/uv/6HjYAQfFt2qIyHQ==" saltValue="l1GpzcCx7WhHNosRTDYqH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8.4964916245545887E-3</v>
      </c>
    </row>
    <row r="4" spans="1:8" ht="15.75" customHeight="1" x14ac:dyDescent="0.2">
      <c r="B4" s="16" t="s">
        <v>79</v>
      </c>
      <c r="C4" s="54">
        <v>0.15968066233112099</v>
      </c>
    </row>
    <row r="5" spans="1:8" ht="15.75" customHeight="1" x14ac:dyDescent="0.2">
      <c r="B5" s="16" t="s">
        <v>80</v>
      </c>
      <c r="C5" s="54">
        <v>8.5201673308562334E-2</v>
      </c>
    </row>
    <row r="6" spans="1:8" ht="15.75" customHeight="1" x14ac:dyDescent="0.2">
      <c r="B6" s="16" t="s">
        <v>81</v>
      </c>
      <c r="C6" s="54">
        <v>0.32609305707060771</v>
      </c>
    </row>
    <row r="7" spans="1:8" ht="15.75" customHeight="1" x14ac:dyDescent="0.2">
      <c r="B7" s="16" t="s">
        <v>82</v>
      </c>
      <c r="C7" s="54">
        <v>0.26205172201959531</v>
      </c>
    </row>
    <row r="8" spans="1:8" ht="15.75" customHeight="1" x14ac:dyDescent="0.2">
      <c r="B8" s="16" t="s">
        <v>83</v>
      </c>
      <c r="C8" s="54">
        <v>2.3085458956368429E-2</v>
      </c>
    </row>
    <row r="9" spans="1:8" ht="15.75" customHeight="1" x14ac:dyDescent="0.2">
      <c r="B9" s="16" t="s">
        <v>84</v>
      </c>
      <c r="C9" s="54">
        <v>5.8007326190551017E-2</v>
      </c>
    </row>
    <row r="10" spans="1:8" ht="15.75" customHeight="1" x14ac:dyDescent="0.2">
      <c r="B10" s="16" t="s">
        <v>85</v>
      </c>
      <c r="C10" s="54">
        <v>7.738360849863983E-2</v>
      </c>
    </row>
    <row r="11" spans="1:8" ht="15.75" customHeight="1" x14ac:dyDescent="0.2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0.1765557519145271</v>
      </c>
      <c r="D14" s="54">
        <v>0.1765557519145271</v>
      </c>
      <c r="E14" s="54">
        <v>0.1765557519145271</v>
      </c>
      <c r="F14" s="54">
        <v>0.1765557519145271</v>
      </c>
    </row>
    <row r="15" spans="1:8" ht="15.75" customHeight="1" x14ac:dyDescent="0.2">
      <c r="B15" s="16" t="s">
        <v>88</v>
      </c>
      <c r="C15" s="54">
        <v>0.30138748303464058</v>
      </c>
      <c r="D15" s="54">
        <v>0.30138748303464058</v>
      </c>
      <c r="E15" s="54">
        <v>0.30138748303464058</v>
      </c>
      <c r="F15" s="54">
        <v>0.30138748303464058</v>
      </c>
    </row>
    <row r="16" spans="1:8" ht="15.75" customHeight="1" x14ac:dyDescent="0.2">
      <c r="B16" s="16" t="s">
        <v>89</v>
      </c>
      <c r="C16" s="54">
        <v>5.155553650619589E-2</v>
      </c>
      <c r="D16" s="54">
        <v>5.155553650619589E-2</v>
      </c>
      <c r="E16" s="54">
        <v>5.155553650619589E-2</v>
      </c>
      <c r="F16" s="54">
        <v>5.155553650619589E-2</v>
      </c>
    </row>
    <row r="17" spans="1:8" ht="15.75" customHeight="1" x14ac:dyDescent="0.2">
      <c r="B17" s="16" t="s">
        <v>90</v>
      </c>
      <c r="C17" s="54">
        <v>9.2166521753400622E-4</v>
      </c>
      <c r="D17" s="54">
        <v>9.2166521753400622E-4</v>
      </c>
      <c r="E17" s="54">
        <v>9.2166521753400622E-4</v>
      </c>
      <c r="F17" s="54">
        <v>9.2166521753400622E-4</v>
      </c>
    </row>
    <row r="18" spans="1:8" ht="15.75" customHeight="1" x14ac:dyDescent="0.2">
      <c r="B18" s="16" t="s">
        <v>91</v>
      </c>
      <c r="C18" s="54">
        <v>0.11921882317154971</v>
      </c>
      <c r="D18" s="54">
        <v>0.11921882317154971</v>
      </c>
      <c r="E18" s="54">
        <v>0.11921882317154971</v>
      </c>
      <c r="F18" s="54">
        <v>0.11921882317154971</v>
      </c>
    </row>
    <row r="19" spans="1:8" ht="15.75" customHeight="1" x14ac:dyDescent="0.2">
      <c r="B19" s="16" t="s">
        <v>92</v>
      </c>
      <c r="C19" s="54">
        <v>1.302263913002681E-2</v>
      </c>
      <c r="D19" s="54">
        <v>1.302263913002681E-2</v>
      </c>
      <c r="E19" s="54">
        <v>1.302263913002681E-2</v>
      </c>
      <c r="F19" s="54">
        <v>1.302263913002681E-2</v>
      </c>
    </row>
    <row r="20" spans="1:8" ht="15.75" customHeight="1" x14ac:dyDescent="0.2">
      <c r="B20" s="16" t="s">
        <v>93</v>
      </c>
      <c r="C20" s="54">
        <v>7.8416701216685539E-3</v>
      </c>
      <c r="D20" s="54">
        <v>7.8416701216685539E-3</v>
      </c>
      <c r="E20" s="54">
        <v>7.8416701216685539E-3</v>
      </c>
      <c r="F20" s="54">
        <v>7.8416701216685539E-3</v>
      </c>
    </row>
    <row r="21" spans="1:8" ht="15.75" customHeight="1" x14ac:dyDescent="0.2">
      <c r="B21" s="16" t="s">
        <v>94</v>
      </c>
      <c r="C21" s="54">
        <v>7.9563021240939766E-2</v>
      </c>
      <c r="D21" s="54">
        <v>7.9563021240939766E-2</v>
      </c>
      <c r="E21" s="54">
        <v>7.9563021240939766E-2</v>
      </c>
      <c r="F21" s="54">
        <v>7.9563021240939766E-2</v>
      </c>
    </row>
    <row r="22" spans="1:8" ht="15.75" customHeight="1" x14ac:dyDescent="0.2">
      <c r="B22" s="16" t="s">
        <v>95</v>
      </c>
      <c r="C22" s="54">
        <v>0.24993340966291741</v>
      </c>
      <c r="D22" s="54">
        <v>0.24993340966291741</v>
      </c>
      <c r="E22" s="54">
        <v>0.24993340966291741</v>
      </c>
      <c r="F22" s="54">
        <v>0.24993340966291741</v>
      </c>
    </row>
    <row r="23" spans="1:8" ht="15.75" customHeight="1" x14ac:dyDescent="0.2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8.8800000000000004E-2</v>
      </c>
    </row>
    <row r="27" spans="1:8" ht="15.75" customHeight="1" x14ac:dyDescent="0.2">
      <c r="B27" s="16" t="s">
        <v>102</v>
      </c>
      <c r="C27" s="54">
        <v>8.6E-3</v>
      </c>
    </row>
    <row r="28" spans="1:8" ht="15.75" customHeight="1" x14ac:dyDescent="0.2">
      <c r="B28" s="16" t="s">
        <v>103</v>
      </c>
      <c r="C28" s="54">
        <v>0.15429999999999999</v>
      </c>
    </row>
    <row r="29" spans="1:8" ht="15.75" customHeight="1" x14ac:dyDescent="0.2">
      <c r="B29" s="16" t="s">
        <v>104</v>
      </c>
      <c r="C29" s="54">
        <v>0.16850000000000001</v>
      </c>
    </row>
    <row r="30" spans="1:8" ht="15.75" customHeight="1" x14ac:dyDescent="0.2">
      <c r="B30" s="16" t="s">
        <v>2</v>
      </c>
      <c r="C30" s="54">
        <v>0.1069</v>
      </c>
    </row>
    <row r="31" spans="1:8" ht="15.75" customHeight="1" x14ac:dyDescent="0.2">
      <c r="B31" s="16" t="s">
        <v>105</v>
      </c>
      <c r="C31" s="54">
        <v>0.1095</v>
      </c>
    </row>
    <row r="32" spans="1:8" ht="15.75" customHeight="1" x14ac:dyDescent="0.2">
      <c r="B32" s="16" t="s">
        <v>106</v>
      </c>
      <c r="C32" s="54">
        <v>1.8599999999999998E-2</v>
      </c>
    </row>
    <row r="33" spans="2:3" ht="15.75" customHeight="1" x14ac:dyDescent="0.2">
      <c r="B33" s="16" t="s">
        <v>107</v>
      </c>
      <c r="C33" s="54">
        <v>8.3199999999999996E-2</v>
      </c>
    </row>
    <row r="34" spans="2:3" ht="15.75" customHeight="1" x14ac:dyDescent="0.2">
      <c r="B34" s="16" t="s">
        <v>108</v>
      </c>
      <c r="C34" s="54">
        <v>0.2616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Y405eHV613UnLpemGqmERD7QeCDuHXyQHTIBJPvtu988zEGoamO2p9Z0knLoN3/HnKQuFb400KbKEKD1B0ILdg==" saltValue="OjzQ6Kkp91POOu7hrWutI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0.72177139000000001</v>
      </c>
      <c r="D2" s="55">
        <v>0.72177139000000001</v>
      </c>
      <c r="E2" s="55">
        <v>0.52695334999999999</v>
      </c>
      <c r="F2" s="55">
        <v>0.31369928000000002</v>
      </c>
      <c r="G2" s="55">
        <v>0.32974724</v>
      </c>
    </row>
    <row r="3" spans="1:15" ht="15.75" customHeight="1" x14ac:dyDescent="0.2">
      <c r="B3" s="7" t="s">
        <v>113</v>
      </c>
      <c r="C3" s="55">
        <v>0.16117113</v>
      </c>
      <c r="D3" s="55">
        <v>0.16117113</v>
      </c>
      <c r="E3" s="55">
        <v>0.23473846000000001</v>
      </c>
      <c r="F3" s="55">
        <v>0.24250984</v>
      </c>
      <c r="G3" s="55">
        <v>0.24798355</v>
      </c>
    </row>
    <row r="4" spans="1:15" ht="15.75" customHeight="1" x14ac:dyDescent="0.2">
      <c r="B4" s="7" t="s">
        <v>114</v>
      </c>
      <c r="C4" s="56">
        <v>6.8478622000000003E-2</v>
      </c>
      <c r="D4" s="56">
        <v>6.8478622000000003E-2</v>
      </c>
      <c r="E4" s="56">
        <v>0.13440058999999999</v>
      </c>
      <c r="F4" s="56">
        <v>0.21662210000000001</v>
      </c>
      <c r="G4" s="56">
        <v>0.21005598</v>
      </c>
    </row>
    <row r="5" spans="1:15" ht="15.75" customHeight="1" x14ac:dyDescent="0.2">
      <c r="B5" s="7" t="s">
        <v>115</v>
      </c>
      <c r="C5" s="56">
        <v>4.8578867999999997E-2</v>
      </c>
      <c r="D5" s="56">
        <v>4.8578867999999997E-2</v>
      </c>
      <c r="E5" s="56">
        <v>0.10390758999999999</v>
      </c>
      <c r="F5" s="56">
        <v>0.22716879000000001</v>
      </c>
      <c r="G5" s="56">
        <v>0.21221321000000001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0.64383788999999991</v>
      </c>
      <c r="D8" s="55">
        <v>0.64383788999999991</v>
      </c>
      <c r="E8" s="55">
        <v>0.52861225000000001</v>
      </c>
      <c r="F8" s="55">
        <v>0.52511386999999998</v>
      </c>
      <c r="G8" s="55">
        <v>0.65704352999999993</v>
      </c>
    </row>
    <row r="9" spans="1:15" ht="15.75" customHeight="1" x14ac:dyDescent="0.2">
      <c r="B9" s="7" t="s">
        <v>118</v>
      </c>
      <c r="C9" s="55">
        <v>0.19969028</v>
      </c>
      <c r="D9" s="55">
        <v>0.19969028</v>
      </c>
      <c r="E9" s="55">
        <v>0.26579987999999999</v>
      </c>
      <c r="F9" s="55">
        <v>0.28424277999999997</v>
      </c>
      <c r="G9" s="55">
        <v>0.22962059000000001</v>
      </c>
    </row>
    <row r="10" spans="1:15" ht="15.75" customHeight="1" x14ac:dyDescent="0.2">
      <c r="B10" s="7" t="s">
        <v>119</v>
      </c>
      <c r="C10" s="56">
        <v>9.5934458E-2</v>
      </c>
      <c r="D10" s="56">
        <v>9.5934458E-2</v>
      </c>
      <c r="E10" s="56">
        <v>0.12846901999999999</v>
      </c>
      <c r="F10" s="56">
        <v>0.12639328999999999</v>
      </c>
      <c r="G10" s="56">
        <v>8.0671519999999997E-2</v>
      </c>
    </row>
    <row r="11" spans="1:15" ht="15.75" customHeight="1" x14ac:dyDescent="0.2">
      <c r="B11" s="7" t="s">
        <v>120</v>
      </c>
      <c r="C11" s="56">
        <v>6.0537314000000002E-2</v>
      </c>
      <c r="D11" s="56">
        <v>6.0537314000000002E-2</v>
      </c>
      <c r="E11" s="56">
        <v>7.7118858999999998E-2</v>
      </c>
      <c r="F11" s="56">
        <v>6.4250073000000005E-2</v>
      </c>
      <c r="G11" s="56">
        <v>3.2664390000000001E-2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0.73521598700000002</v>
      </c>
      <c r="D14" s="57">
        <v>0.72018264867199999</v>
      </c>
      <c r="E14" s="57">
        <v>0.72018264867199999</v>
      </c>
      <c r="F14" s="57">
        <v>0.82913690597400003</v>
      </c>
      <c r="G14" s="57">
        <v>0.82913690597400003</v>
      </c>
      <c r="H14" s="58">
        <v>0.441</v>
      </c>
      <c r="I14" s="58">
        <v>0.52100000000000002</v>
      </c>
      <c r="J14" s="58">
        <v>0.52100000000000002</v>
      </c>
      <c r="K14" s="58">
        <v>0.52100000000000002</v>
      </c>
      <c r="L14" s="58">
        <v>0.49807677312800003</v>
      </c>
      <c r="M14" s="58">
        <v>0.48485179090099989</v>
      </c>
      <c r="N14" s="58">
        <v>0.41551574109849992</v>
      </c>
      <c r="O14" s="58">
        <v>0.40758051795049999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0.31828198734560847</v>
      </c>
      <c r="D15" s="55">
        <f t="shared" si="0"/>
        <v>0.31177391232536988</v>
      </c>
      <c r="E15" s="55">
        <f t="shared" si="0"/>
        <v>0.31177391232536988</v>
      </c>
      <c r="F15" s="55">
        <f t="shared" si="0"/>
        <v>0.35894124567641322</v>
      </c>
      <c r="G15" s="55">
        <f t="shared" si="0"/>
        <v>0.35894124567641322</v>
      </c>
      <c r="H15" s="55">
        <f t="shared" si="0"/>
        <v>0.19091309071250287</v>
      </c>
      <c r="I15" s="55">
        <f t="shared" si="0"/>
        <v>0.22554585093245805</v>
      </c>
      <c r="J15" s="55">
        <f t="shared" si="0"/>
        <v>0.22554585093245805</v>
      </c>
      <c r="K15" s="55">
        <f t="shared" si="0"/>
        <v>0.22554585093245805</v>
      </c>
      <c r="L15" s="55">
        <f t="shared" si="0"/>
        <v>0.21562216818588795</v>
      </c>
      <c r="M15" s="55">
        <f t="shared" si="0"/>
        <v>0.20989694770612713</v>
      </c>
      <c r="N15" s="55">
        <f t="shared" si="0"/>
        <v>0.17988071286351651</v>
      </c>
      <c r="O15" s="55">
        <f t="shared" si="0"/>
        <v>0.17644547935631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v8UIZyLbaSIVs42lod/eQXy3gES/hM17i9MTrsZoBuVZ9D5B4KuHK+P5xV90hDb2lfsa/xz8Etn13Hfz9A5SYA==" saltValue="iq0YKad0pZEjxxLmXrYS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0.22203828810000001</v>
      </c>
      <c r="D2" s="56">
        <v>0.16409362999999999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0.51790111999999999</v>
      </c>
      <c r="D3" s="56">
        <v>0.40324939999999998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0.24761812</v>
      </c>
      <c r="D4" s="56">
        <v>0.42011062999999998</v>
      </c>
      <c r="E4" s="56">
        <v>0.95616996288299605</v>
      </c>
      <c r="F4" s="56">
        <v>0.78799217939376798</v>
      </c>
      <c r="G4" s="56">
        <v>0</v>
      </c>
    </row>
    <row r="5" spans="1:7" x14ac:dyDescent="0.2">
      <c r="B5" s="98" t="s">
        <v>132</v>
      </c>
      <c r="C5" s="55">
        <v>1.2442471900000101E-2</v>
      </c>
      <c r="D5" s="55">
        <v>1.25463400000001E-2</v>
      </c>
      <c r="E5" s="55">
        <v>4.3830037117003971E-2</v>
      </c>
      <c r="F5" s="55">
        <v>0.21200782060623199</v>
      </c>
      <c r="G5" s="55">
        <v>1</v>
      </c>
    </row>
  </sheetData>
  <sheetProtection algorithmName="SHA-512" hashValue="IJ6oDylAk1OF/5abUpbefsuI7c2WlXmKr1kjkpUOg0E3d/ClCHS9GQzqEUQmhHWRHpyyatWGQ94PJac+bOsx/g==" saltValue="Qsb0x9pD1tkMsefQxocbL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ZVZFSlPs6cwEKl78ojPVCaPg8WWJoTUepawq+1jRfU8P2JxoUrfW5FcImwGCGcAsNMThcxDn8ShGgHmgDgQ7sw==" saltValue="CanBZ1Y4Xl4Sp+8INzjil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pO35d2lZLI/SV+ieUkfkIw7E3FC+aWilb5hT0cLnK3ySzOD0oVVs8wCqSubM6Q5TldQAnTMDRj2X2vwYcHqYsg==" saltValue="Mnhmxpo/nk0TVyIo4AaVR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7RF3bZAVD7dOnP6HYWmDzCoSzUQB9Fd2TcB1aPPg8mEgxFP1poODzlQ4n9vPqe2MiI65658qVEDrB27U8uRruQ==" saltValue="OHLXRn3kOIsZTTOJePcqW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1DDsri38ancvzmji5R2g4B0IvwKWgmmrIwl0yJ/uDylYpfoFrdL1SzB7nBLDa9ZTpUm1YmT3/v41XF+zDaAXBg==" saltValue="W541sOW4QCKDpnYzlHXqj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2022-02-02T08:29:22Z</dcterms:modified>
</cp:coreProperties>
</file>