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1164F79A-1CA4-406C-B41D-C97872186478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3" i="2"/>
  <c r="A25" i="2"/>
  <c r="A18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2" i="2" s="1"/>
  <c r="C33" i="1"/>
  <c r="C20" i="1"/>
  <c r="A34" i="2" l="1"/>
  <c r="A39" i="2"/>
  <c r="I4" i="2"/>
  <c r="I8" i="2"/>
  <c r="A17" i="2"/>
  <c r="A26" i="2"/>
  <c r="I39" i="2"/>
  <c r="A19" i="2"/>
  <c r="A27" i="2"/>
  <c r="A35" i="2"/>
  <c r="A37" i="2"/>
  <c r="A14" i="2"/>
  <c r="A22" i="2"/>
  <c r="A30" i="2"/>
  <c r="A38" i="2"/>
  <c r="A40" i="2"/>
  <c r="D58" i="20"/>
  <c r="A13" i="2"/>
  <c r="A31" i="2"/>
  <c r="A12" i="2"/>
  <c r="A20" i="2"/>
  <c r="A28" i="2"/>
  <c r="A36" i="2"/>
  <c r="A21" i="2"/>
  <c r="A29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<sst xmlns="http://schemas.openxmlformats.org/spreadsheetml/2006/main" count="2092" uniqueCount="337">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</sst>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3564707.40625</v>
      </c>
    </row>
    <row r="8" spans="1:3" ht="15" customHeight="1" x14ac:dyDescent="0.2">
      <c r="B8" s="7" t="s">
        <v>19</v>
      </c>
      <c r="C8" s="46">
        <v>7.9000000000000001E-2</v>
      </c>
    </row>
    <row r="9" spans="1:3" ht="15" customHeight="1" x14ac:dyDescent="0.2">
      <c r="B9" s="7" t="s">
        <v>20</v>
      </c>
      <c r="C9" s="47">
        <v>0.1173</v>
      </c>
    </row>
    <row r="10" spans="1:3" ht="15" customHeight="1" x14ac:dyDescent="0.2">
      <c r="B10" s="7" t="s">
        <v>21</v>
      </c>
      <c r="C10" s="47">
        <v>0.77493057250976605</v>
      </c>
    </row>
    <row r="11" spans="1:3" ht="15" customHeight="1" x14ac:dyDescent="0.2">
      <c r="B11" s="7" t="s">
        <v>22</v>
      </c>
      <c r="C11" s="46">
        <v>0.90799999999999992</v>
      </c>
    </row>
    <row r="12" spans="1:3" ht="15" customHeight="1" x14ac:dyDescent="0.2">
      <c r="B12" s="7" t="s">
        <v>23</v>
      </c>
      <c r="C12" s="46">
        <v>0.79500000000000004</v>
      </c>
    </row>
    <row r="13" spans="1:3" ht="15" customHeight="1" x14ac:dyDescent="0.2">
      <c r="B13" s="7" t="s">
        <v>24</v>
      </c>
      <c r="C13" s="46">
        <v>0.108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0.1774</v>
      </c>
    </row>
    <row r="24" spans="1:3" ht="15" customHeight="1" x14ac:dyDescent="0.2">
      <c r="B24" s="12" t="s">
        <v>33</v>
      </c>
      <c r="C24" s="47">
        <v>0.45540000000000003</v>
      </c>
    </row>
    <row r="25" spans="1:3" ht="15" customHeight="1" x14ac:dyDescent="0.2">
      <c r="B25" s="12" t="s">
        <v>34</v>
      </c>
      <c r="C25" s="47">
        <v>0.34060000000000001</v>
      </c>
    </row>
    <row r="26" spans="1:3" ht="15" customHeight="1" x14ac:dyDescent="0.2">
      <c r="B26" s="12" t="s">
        <v>35</v>
      </c>
      <c r="C26" s="47">
        <v>2.6599999999999999E-2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5.3125907897737603</v>
      </c>
    </row>
    <row r="38" spans="1:5" ht="15" customHeight="1" x14ac:dyDescent="0.2">
      <c r="B38" s="28" t="s">
        <v>45</v>
      </c>
      <c r="C38" s="117">
        <v>7.7208704292769799</v>
      </c>
      <c r="D38" s="9"/>
      <c r="E38" s="10"/>
    </row>
    <row r="39" spans="1:5" ht="15" customHeight="1" x14ac:dyDescent="0.2">
      <c r="B39" s="28" t="s">
        <v>46</v>
      </c>
      <c r="C39" s="117">
        <v>9.0147037932328402</v>
      </c>
      <c r="D39" s="9"/>
      <c r="E39" s="9"/>
    </row>
    <row r="40" spans="1:5" ht="15" customHeight="1" x14ac:dyDescent="0.2">
      <c r="B40" s="28" t="s">
        <v>47</v>
      </c>
      <c r="C40" s="117">
        <v>37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5.759119213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2.6783100000000001E-2</v>
      </c>
      <c r="D45" s="9"/>
    </row>
    <row r="46" spans="1:5" ht="15.75" customHeight="1" x14ac:dyDescent="0.2">
      <c r="B46" s="28" t="s">
        <v>52</v>
      </c>
      <c r="C46" s="47">
        <v>9.3377099999999991E-2</v>
      </c>
      <c r="D46" s="9"/>
    </row>
    <row r="47" spans="1:5" ht="15.75" customHeight="1" x14ac:dyDescent="0.2">
      <c r="B47" s="28" t="s">
        <v>53</v>
      </c>
      <c r="C47" s="47">
        <v>0.16134660000000001</v>
      </c>
      <c r="D47" s="9"/>
      <c r="E47" s="10"/>
    </row>
    <row r="48" spans="1:5" ht="15" customHeight="1" x14ac:dyDescent="0.2">
      <c r="B48" s="28" t="s">
        <v>54</v>
      </c>
      <c r="C48" s="48">
        <v>0.71849320000000005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2.4</v>
      </c>
      <c r="D51" s="9"/>
    </row>
    <row r="52" spans="1:4" ht="15" customHeight="1" x14ac:dyDescent="0.2">
      <c r="B52" s="28" t="s">
        <v>57</v>
      </c>
      <c r="C52" s="51">
        <v>2.4</v>
      </c>
    </row>
    <row r="53" spans="1:4" ht="15.75" customHeight="1" x14ac:dyDescent="0.2">
      <c r="B53" s="28" t="s">
        <v>58</v>
      </c>
      <c r="C53" s="51">
        <v>2.4</v>
      </c>
    </row>
    <row r="54" spans="1:4" ht="15.75" customHeight="1" x14ac:dyDescent="0.2">
      <c r="B54" s="28" t="s">
        <v>59</v>
      </c>
      <c r="C54" s="51">
        <v>2.4</v>
      </c>
    </row>
    <row r="55" spans="1:4" ht="15.75" customHeight="1" x14ac:dyDescent="0.2">
      <c r="B55" s="28" t="s">
        <v>60</v>
      </c>
      <c r="C55" s="51">
        <v>2.4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2.1759475900795511E-2</v>
      </c>
    </row>
    <row r="59" spans="1:4" ht="15.75" customHeight="1" x14ac:dyDescent="0.2">
      <c r="B59" s="28" t="s">
        <v>63</v>
      </c>
      <c r="C59" s="46">
        <v>0.55480721637247754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10.516175</v>
      </c>
    </row>
    <row r="63" spans="1:4" ht="15.75" customHeight="1" x14ac:dyDescent="0.2">
      <c r="A63" s="39"/>
    </row>
  </sheetData>
  <sheetProtection algorithmName="SHA-512" hashValue="MNyC9dHeibk67lGjwBHNCuuDceFuw8MRdnRAmwi4LfsWNE3sDucgTPxyag7ZF8jupaKN1dviJlfpKOIaKgj63g==" saltValue="kZpNJE5+CWCHjhVlav8o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0.216304782950897</v>
      </c>
      <c r="C2" s="115">
        <v>0.95</v>
      </c>
      <c r="D2" s="116">
        <v>69.29767297109683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40.13269466976994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591.06209321591393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3.2006003828390139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13.26499411356585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13.26499411356585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13.26499411356585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13.26499411356585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13.26499411356585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13.26499411356585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0.97175991346119572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0.69243133540000001</v>
      </c>
      <c r="C18" s="115">
        <v>0.95</v>
      </c>
      <c r="D18" s="116">
        <v>13.572928096468379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0.69243133540000001</v>
      </c>
      <c r="C19" s="115">
        <v>0.95</v>
      </c>
      <c r="D19" s="116">
        <v>13.572928096468379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0.98982528689999993</v>
      </c>
      <c r="C21" s="115">
        <v>0.95</v>
      </c>
      <c r="D21" s="116">
        <v>28.571116697776191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23.023699585983909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4.4373468308323929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0.74070615767553705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18.82704421276744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139.36614501431501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1.6292436938648731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2.1125177492988438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0.420254856348038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0.70290710901991504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0.83923358195467201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2.415723197099835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0.98750734610525792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M0VpzUXi2K/7pqEw1iyAsjZ5a381oEWki/ZnC5GzikN9+D3Z+OunoG7IgcEQaAPkPDh29sklC5VkpuwUZXdFKQ==" saltValue="o5LCoWXOBH/QP9I9654F4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0N88j/8tVyVPcV5hwCwphcGNQgC1K3gh/0yao4y9dj2Uep1Hgd2nNfHsrbHELnRHkCragBFV4LUvkEC8Lc8wPg==" saltValue="Mtoqo7o2dErATtnB8U7V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CdZIiaKhwnX3giXxhtoe8MiRT5q7zVJe4XBi3azFXHC8c6GRqx/ADZBoVCsTquRNBVrmaiK03DEa22MW6Y2d8g==" saltValue="g2kVyT0pev4PiVv4o04K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">
      <c r="A3" s="4" t="s">
        <v>209</v>
      </c>
      <c r="B3" s="18">
        <f>frac_mam_1month * 2.6</f>
        <v>0.25732627063989638</v>
      </c>
      <c r="C3" s="18">
        <f>frac_mam_1_5months * 2.6</f>
        <v>0.25732627063989638</v>
      </c>
      <c r="D3" s="18">
        <f>frac_mam_6_11months * 2.6</f>
        <v>6.7543538287281935E-2</v>
      </c>
      <c r="E3" s="18">
        <f>frac_mam_12_23months * 2.6</f>
        <v>8.2304255664348638E-2</v>
      </c>
      <c r="F3" s="18">
        <f>frac_mam_24_59months * 2.6</f>
        <v>9.4167823344469159E-2</v>
      </c>
    </row>
    <row r="4" spans="1:6" ht="15.75" customHeight="1" x14ac:dyDescent="0.2">
      <c r="A4" s="4" t="s">
        <v>208</v>
      </c>
      <c r="B4" s="18">
        <f>frac_sam_1month * 2.6</f>
        <v>6.4519103243947037E-2</v>
      </c>
      <c r="C4" s="18">
        <f>frac_sam_1_5months * 2.6</f>
        <v>6.4519103243947037E-2</v>
      </c>
      <c r="D4" s="18">
        <f>frac_sam_6_11months * 2.6</f>
        <v>3.2658534497022718E-2</v>
      </c>
      <c r="E4" s="18">
        <f>frac_sam_12_23months * 2.6</f>
        <v>4.013551827520144E-2</v>
      </c>
      <c r="F4" s="18">
        <f>frac_sam_24_59months * 2.6</f>
        <v>3.2685422152280826E-2</v>
      </c>
    </row>
  </sheetData>
  <sheetProtection algorithmName="SHA-512" hashValue="Y/CHH9JqTiJOn0g8ikGlVsy9lLbknDNkSuN7MaThvmiQqdDuv65+Udemetutjn4k6Wud0sEA0D/MGbzBieI1Iw==" saltValue="neH9OuL41nwPMuuoE/8T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7.9000000000000001E-2</v>
      </c>
      <c r="E2" s="65">
        <f>food_insecure</f>
        <v>7.9000000000000001E-2</v>
      </c>
      <c r="F2" s="65">
        <f>food_insecure</f>
        <v>7.9000000000000001E-2</v>
      </c>
      <c r="G2" s="65">
        <f>food_insecure</f>
        <v>7.9000000000000001E-2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7.9000000000000001E-2</v>
      </c>
      <c r="F5" s="65">
        <f>food_insecure</f>
        <v>7.9000000000000001E-2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7.9000000000000001E-2</v>
      </c>
      <c r="F8" s="65">
        <f>food_insecure</f>
        <v>7.9000000000000001E-2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7.9000000000000001E-2</v>
      </c>
      <c r="F9" s="65">
        <f>food_insecure</f>
        <v>7.9000000000000001E-2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0.79500000000000004</v>
      </c>
      <c r="E10" s="65">
        <f>IF(ISBLANK(comm_deliv), frac_children_health_facility,1)</f>
        <v>0.79500000000000004</v>
      </c>
      <c r="F10" s="65">
        <f>IF(ISBLANK(comm_deliv), frac_children_health_facility,1)</f>
        <v>0.79500000000000004</v>
      </c>
      <c r="G10" s="65">
        <f>IF(ISBLANK(comm_deliv), frac_children_health_facility,1)</f>
        <v>0.79500000000000004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7.9000000000000001E-2</v>
      </c>
      <c r="I15" s="65">
        <f>food_insecure</f>
        <v>7.9000000000000001E-2</v>
      </c>
      <c r="J15" s="65">
        <f>food_insecure</f>
        <v>7.9000000000000001E-2</v>
      </c>
      <c r="K15" s="65">
        <f>food_insecure</f>
        <v>7.9000000000000001E-2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0.90799999999999992</v>
      </c>
      <c r="I18" s="65">
        <f>frac_PW_health_facility</f>
        <v>0.90799999999999992</v>
      </c>
      <c r="J18" s="65">
        <f>frac_PW_health_facility</f>
        <v>0.90799999999999992</v>
      </c>
      <c r="K18" s="65">
        <f>frac_PW_health_facility</f>
        <v>0.90799999999999992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0.1173</v>
      </c>
      <c r="I19" s="65">
        <f>frac_malaria_risk</f>
        <v>0.1173</v>
      </c>
      <c r="J19" s="65">
        <f>frac_malaria_risk</f>
        <v>0.1173</v>
      </c>
      <c r="K19" s="65">
        <f>frac_malaria_risk</f>
        <v>0.1173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0.108</v>
      </c>
      <c r="M24" s="65">
        <f>famplan_unmet_need</f>
        <v>0.108</v>
      </c>
      <c r="N24" s="65">
        <f>famplan_unmet_need</f>
        <v>0.108</v>
      </c>
      <c r="O24" s="65">
        <f>famplan_unmet_need</f>
        <v>0.108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0.11401792127227761</v>
      </c>
      <c r="M25" s="65">
        <f>(1-food_insecure)*(0.49)+food_insecure*(0.7)</f>
        <v>0.50658999999999998</v>
      </c>
      <c r="N25" s="65">
        <f>(1-food_insecure)*(0.49)+food_insecure*(0.7)</f>
        <v>0.50658999999999998</v>
      </c>
      <c r="O25" s="65">
        <f>(1-food_insecure)*(0.49)+food_insecure*(0.7)</f>
        <v>0.50658999999999998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4.8864823402404688E-2</v>
      </c>
      <c r="M26" s="65">
        <f>(1-food_insecure)*(0.21)+food_insecure*(0.3)</f>
        <v>0.21711</v>
      </c>
      <c r="N26" s="65">
        <f>(1-food_insecure)*(0.21)+food_insecure*(0.3)</f>
        <v>0.21711</v>
      </c>
      <c r="O26" s="65">
        <f>(1-food_insecure)*(0.21)+food_insecure*(0.3)</f>
        <v>0.21711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6.218668281555164E-2</v>
      </c>
      <c r="M27" s="65">
        <f>(1-food_insecure)*(0.3)</f>
        <v>0.27629999999999999</v>
      </c>
      <c r="N27" s="65">
        <f>(1-food_insecure)*(0.3)</f>
        <v>0.27629999999999999</v>
      </c>
      <c r="O27" s="65">
        <f>(1-food_insecure)*(0.3)</f>
        <v>0.27629999999999999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0.77493057250976605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0.1173</v>
      </c>
      <c r="D34" s="65">
        <f t="shared" si="3"/>
        <v>0.1173</v>
      </c>
      <c r="E34" s="65">
        <f t="shared" si="3"/>
        <v>0.1173</v>
      </c>
      <c r="F34" s="65">
        <f t="shared" si="3"/>
        <v>0.1173</v>
      </c>
      <c r="G34" s="65">
        <f t="shared" si="3"/>
        <v>0.1173</v>
      </c>
      <c r="H34" s="65">
        <f t="shared" si="3"/>
        <v>0.1173</v>
      </c>
      <c r="I34" s="65">
        <f t="shared" si="3"/>
        <v>0.1173</v>
      </c>
      <c r="J34" s="65">
        <f t="shared" si="3"/>
        <v>0.1173</v>
      </c>
      <c r="K34" s="65">
        <f t="shared" si="3"/>
        <v>0.1173</v>
      </c>
      <c r="L34" s="65">
        <f t="shared" si="3"/>
        <v>0.1173</v>
      </c>
      <c r="M34" s="65">
        <f t="shared" si="3"/>
        <v>0.1173</v>
      </c>
      <c r="N34" s="65">
        <f t="shared" si="3"/>
        <v>0.1173</v>
      </c>
      <c r="O34" s="65">
        <f t="shared" si="3"/>
        <v>0.1173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5XeZ/ITZVS7XXuSePV/KnXakgrGSQg9kzVNDPZJhNmhuQUuk3vO5cJZwn3Zel/W/D8eC5h7lP0xbzQ6djo6ogQ==" saltValue="byiZkTk1jGW4xAJQzzUS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94GUZt2XHePuDW3j8HFdqk/sIHyg9tvxNAnP+GxhZjxEaZMBuZr10Q48WoxVxmXyivsUI+KggnqZDB5FX2YP8A==" saltValue="j1hpbba+0GQiXX8CXi8N/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87F5S4b3WnxtpH55wr5u4HVjE9pnuh3Qjj6kG32l0dQxbNe9Tnp2ekFQF2mg8X0sbAW+8UvlEI9hskE42STC8A==" saltValue="x2XLYmKxHqrXNH0zBHRj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BY0qTsCyA8YTgZrfoMWgxTlgE/EKVboHmN7ppGzTW/wgZEUvaDivpKmuxCjI3tzwRh4pcA35Y0k7ubw4qV8mPQ==" saltValue="f7zC0zD+1VjjyNJs2LtmE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UXcFi60AFka1AWe5QCLP0fFi/zrEXT9byWlbaP74DUJHhEB87SbPv85himmXOQ80uUS2dSdBIG05Pj+a9C8I+Q==" saltValue="PE27NLNx/JeV9ajR3SST+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yz+Oanu6VM8t1oM9ud3ClbLlb4huFrFaXsGU2ltAyJycnb8FBZgGhiaLVaMkPW5+6rEZLTjrq/e9F4TlPFdpXg==" saltValue="V4idQBMQVJqd8nU5Na5p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657159.18839999998</v>
      </c>
      <c r="C2" s="53">
        <v>2101000</v>
      </c>
      <c r="D2" s="53">
        <v>4735000</v>
      </c>
      <c r="E2" s="53">
        <v>69000</v>
      </c>
      <c r="F2" s="53">
        <v>46000</v>
      </c>
      <c r="G2" s="14">
        <f t="shared" ref="G2:G11" si="0">C2+D2+E2+F2</f>
        <v>6951000</v>
      </c>
      <c r="H2" s="14">
        <f t="shared" ref="H2:H11" si="1">(B2 + stillbirth*B2/(1000-stillbirth))/(1-abortion)</f>
        <v>692836.23591166374</v>
      </c>
      <c r="I2" s="14">
        <f t="shared" ref="I2:I11" si="2">G2-H2</f>
        <v>6258163.7640883364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652241.74080000003</v>
      </c>
      <c r="C3" s="53">
        <v>2072000</v>
      </c>
      <c r="D3" s="53">
        <v>4695000</v>
      </c>
      <c r="E3" s="53">
        <v>70000</v>
      </c>
      <c r="F3" s="53">
        <v>45000</v>
      </c>
      <c r="G3" s="14">
        <f t="shared" si="0"/>
        <v>6882000</v>
      </c>
      <c r="H3" s="14">
        <f t="shared" si="1"/>
        <v>687651.82101552293</v>
      </c>
      <c r="I3" s="14">
        <f t="shared" si="2"/>
        <v>6194348.1789844772</v>
      </c>
    </row>
    <row r="4" spans="1:9" ht="15.75" customHeight="1" x14ac:dyDescent="0.2">
      <c r="A4" s="7">
        <f t="shared" si="3"/>
        <v>2023</v>
      </c>
      <c r="B4" s="52">
        <v>647155.04340000008</v>
      </c>
      <c r="C4" s="53">
        <v>2047000</v>
      </c>
      <c r="D4" s="53">
        <v>4635000</v>
      </c>
      <c r="E4" s="53">
        <v>71000</v>
      </c>
      <c r="F4" s="53">
        <v>44000</v>
      </c>
      <c r="G4" s="14">
        <f t="shared" si="0"/>
        <v>6797000</v>
      </c>
      <c r="H4" s="14">
        <f t="shared" si="1"/>
        <v>682288.96777988889</v>
      </c>
      <c r="I4" s="14">
        <f t="shared" si="2"/>
        <v>6114711.0322201112</v>
      </c>
    </row>
    <row r="5" spans="1:9" ht="15.75" customHeight="1" x14ac:dyDescent="0.2">
      <c r="A5" s="7">
        <f t="shared" si="3"/>
        <v>2024</v>
      </c>
      <c r="B5" s="52">
        <v>641930.83200000017</v>
      </c>
      <c r="C5" s="53">
        <v>2023000</v>
      </c>
      <c r="D5" s="53">
        <v>4568000</v>
      </c>
      <c r="E5" s="53">
        <v>73000</v>
      </c>
      <c r="F5" s="53">
        <v>45000</v>
      </c>
      <c r="G5" s="14">
        <f t="shared" si="0"/>
        <v>6709000</v>
      </c>
      <c r="H5" s="14">
        <f t="shared" si="1"/>
        <v>676781.13493531535</v>
      </c>
      <c r="I5" s="14">
        <f t="shared" si="2"/>
        <v>6032218.8650646843</v>
      </c>
    </row>
    <row r="6" spans="1:9" ht="15.75" customHeight="1" x14ac:dyDescent="0.2">
      <c r="A6" s="7">
        <f t="shared" si="3"/>
        <v>2025</v>
      </c>
      <c r="B6" s="52">
        <v>636572.47499999998</v>
      </c>
      <c r="C6" s="53">
        <v>1998000</v>
      </c>
      <c r="D6" s="53">
        <v>4498000</v>
      </c>
      <c r="E6" s="53">
        <v>77000</v>
      </c>
      <c r="F6" s="53">
        <v>47000</v>
      </c>
      <c r="G6" s="14">
        <f t="shared" si="0"/>
        <v>6620000</v>
      </c>
      <c r="H6" s="14">
        <f t="shared" si="1"/>
        <v>671131.87375159841</v>
      </c>
      <c r="I6" s="14">
        <f t="shared" si="2"/>
        <v>5948868.1262484016</v>
      </c>
    </row>
    <row r="7" spans="1:9" ht="15.75" customHeight="1" x14ac:dyDescent="0.2">
      <c r="A7" s="7">
        <f t="shared" si="3"/>
        <v>2026</v>
      </c>
      <c r="B7" s="52">
        <v>634971.82979999995</v>
      </c>
      <c r="C7" s="53">
        <v>1974000</v>
      </c>
      <c r="D7" s="53">
        <v>4429000</v>
      </c>
      <c r="E7" s="53">
        <v>80000</v>
      </c>
      <c r="F7" s="53">
        <v>48000</v>
      </c>
      <c r="G7" s="14">
        <f t="shared" si="0"/>
        <v>6531000</v>
      </c>
      <c r="H7" s="14">
        <f t="shared" si="1"/>
        <v>669444.32982773089</v>
      </c>
      <c r="I7" s="14">
        <f t="shared" si="2"/>
        <v>5861555.6701722695</v>
      </c>
    </row>
    <row r="8" spans="1:9" ht="15.75" customHeight="1" x14ac:dyDescent="0.2">
      <c r="A8" s="7">
        <f t="shared" si="3"/>
        <v>2027</v>
      </c>
      <c r="B8" s="52">
        <v>633261.46539999987</v>
      </c>
      <c r="C8" s="53">
        <v>1952000</v>
      </c>
      <c r="D8" s="53">
        <v>4355000</v>
      </c>
      <c r="E8" s="53">
        <v>87000</v>
      </c>
      <c r="F8" s="53">
        <v>50000</v>
      </c>
      <c r="G8" s="14">
        <f t="shared" si="0"/>
        <v>6444000</v>
      </c>
      <c r="H8" s="14">
        <f t="shared" si="1"/>
        <v>667641.11006933637</v>
      </c>
      <c r="I8" s="14">
        <f t="shared" si="2"/>
        <v>5776358.8899306636</v>
      </c>
    </row>
    <row r="9" spans="1:9" ht="15.75" customHeight="1" x14ac:dyDescent="0.2">
      <c r="A9" s="7">
        <f t="shared" si="3"/>
        <v>2028</v>
      </c>
      <c r="B9" s="52">
        <v>631433.2139999998</v>
      </c>
      <c r="C9" s="53">
        <v>1928000</v>
      </c>
      <c r="D9" s="53">
        <v>4281000</v>
      </c>
      <c r="E9" s="53">
        <v>92000</v>
      </c>
      <c r="F9" s="53">
        <v>53000</v>
      </c>
      <c r="G9" s="14">
        <f t="shared" si="0"/>
        <v>6354000</v>
      </c>
      <c r="H9" s="14">
        <f t="shared" si="1"/>
        <v>665713.60324810445</v>
      </c>
      <c r="I9" s="14">
        <f t="shared" si="2"/>
        <v>5688286.3967518955</v>
      </c>
    </row>
    <row r="10" spans="1:9" ht="15.75" customHeight="1" x14ac:dyDescent="0.2">
      <c r="A10" s="7">
        <f t="shared" si="3"/>
        <v>2029</v>
      </c>
      <c r="B10" s="52">
        <v>629488.0427999997</v>
      </c>
      <c r="C10" s="53">
        <v>1900000</v>
      </c>
      <c r="D10" s="53">
        <v>4209000</v>
      </c>
      <c r="E10" s="53">
        <v>98000</v>
      </c>
      <c r="F10" s="53">
        <v>55000</v>
      </c>
      <c r="G10" s="14">
        <f t="shared" si="0"/>
        <v>6262000</v>
      </c>
      <c r="H10" s="14">
        <f t="shared" si="1"/>
        <v>663662.82907313923</v>
      </c>
      <c r="I10" s="14">
        <f t="shared" si="2"/>
        <v>5598337.1709268605</v>
      </c>
    </row>
    <row r="11" spans="1:9" ht="15.75" customHeight="1" x14ac:dyDescent="0.2">
      <c r="A11" s="7">
        <f t="shared" si="3"/>
        <v>2030</v>
      </c>
      <c r="B11" s="52">
        <v>627399.88600000006</v>
      </c>
      <c r="C11" s="53">
        <v>1865000</v>
      </c>
      <c r="D11" s="53">
        <v>4142000</v>
      </c>
      <c r="E11" s="53">
        <v>103000</v>
      </c>
      <c r="F11" s="53">
        <v>57000</v>
      </c>
      <c r="G11" s="14">
        <f t="shared" si="0"/>
        <v>6167000</v>
      </c>
      <c r="H11" s="14">
        <f t="shared" si="1"/>
        <v>661461.30663711031</v>
      </c>
      <c r="I11" s="14">
        <f t="shared" si="2"/>
        <v>5505538.6933628898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Vq8LNNrE2/QbhHw0IOXhXhVyxCTvAHtEC792iTYVECMSLTvL/tXBgF5jnfBwl6sAvKhRM7GQz5RJmBwk+7rsQg==" saltValue="qW3onG8sVNA7PhiBBMe9d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WqhdaWmchiRD9W3q8JEUu8G6DYwDN64pz3n6azT/KwPJlDxPcV9lcyUQBNkGStdnb/7EseAlUNBkSk5RxjDGkQ==" saltValue="NHollDSW/vg5By437SSBR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kU1hFWSoXmQJEDQnrP9uRXBrYFYAWh66N581vPDMmRT/Jy3A2Oi3HVKd3h1icMma69jmFr26kViO5m4/6dbqmg==" saltValue="j3rUWttwUStD6HtLU12d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6MijW2eYFu0Oxt9OtulSget2otrlrX5imObmW6c1eF7j6XTfOHu0QJFL/3+igWb1cR2AZOXxJyWfy1w3A0GFRQ==" saltValue="MeLN78INbPiC10ee/JhT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Z1R8dcxgi0nrQShAWTqxMOqJU39eWMuuVbvj/dzMD8Xqtmn4eXKy0JHYR3Q2nr+hEGBqeaPgetZ7fnlZJ1gdrg==" saltValue="0hfputnFPTrxZujKhMfq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ZaIyql2iIpVJWTfn+F/YEn4Hi791qa0nv+UtQIOFb7Qjl6gPegOVUqbEheh9SSCwOY+7p764Ic7VwHYu7zUT8Q==" saltValue="eGxyyhpiDjiZaO3csA5q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alk7uAlPh6tvl0mzRtUrCkr70Wk/kR/IQzEhNWw4FZD6ug8lWMAfobvnQOkhECKGheIgr0WUNfHCnWSXS7oZ5w==" saltValue="ob+OsXHRK4qpuMBCE8l6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iPtatHglzeJglI1u7RlVp9zMkTpIKbIhorYdQNWYvE7OB8+qrG0qAYiEJKCnV4JYu9k1MFbjTJo7ezH8OWw+NQ==" saltValue="1YTwwQ6SL4VP+1X+r27nC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lTGRucObvdwkzwc0d5mtjW9qymaFAosKNmABdajld6psvCwIIm7dgoqa0MvAx5/FWLKSSVJxUcRnqEiTjQZeRQ==" saltValue="z30Ar+dqS2SSW/+aAfd/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LugJBHq3TLVlDYI3jtLY9XPcwwBfdV7CvF14DST7cXL5Ev43VqoCqKFq8VAVhPXaKM1ibA41IHShwJ5ZZZae0w==" saltValue="ZyLfYwDZR7auBkSCNW4Gr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6.4067727851205722E-2</v>
      </c>
    </row>
    <row r="5" spans="1:8" ht="15.75" customHeight="1" x14ac:dyDescent="0.2">
      <c r="B5" s="16" t="s">
        <v>80</v>
      </c>
      <c r="C5" s="54">
        <v>3.4978241258303927E-2</v>
      </c>
    </row>
    <row r="6" spans="1:8" ht="15.75" customHeight="1" x14ac:dyDescent="0.2">
      <c r="B6" s="16" t="s">
        <v>81</v>
      </c>
      <c r="C6" s="54">
        <v>0.1282337489197056</v>
      </c>
    </row>
    <row r="7" spans="1:8" ht="15.75" customHeight="1" x14ac:dyDescent="0.2">
      <c r="B7" s="16" t="s">
        <v>82</v>
      </c>
      <c r="C7" s="54">
        <v>0.38154829377519278</v>
      </c>
    </row>
    <row r="8" spans="1:8" ht="15.75" customHeight="1" x14ac:dyDescent="0.2">
      <c r="B8" s="16" t="s">
        <v>83</v>
      </c>
      <c r="C8" s="54">
        <v>1.001183290645757E-2</v>
      </c>
    </row>
    <row r="9" spans="1:8" ht="15.75" customHeight="1" x14ac:dyDescent="0.2">
      <c r="B9" s="16" t="s">
        <v>84</v>
      </c>
      <c r="C9" s="54">
        <v>0.26083786892759181</v>
      </c>
    </row>
    <row r="10" spans="1:8" ht="15.75" customHeight="1" x14ac:dyDescent="0.2">
      <c r="B10" s="16" t="s">
        <v>85</v>
      </c>
      <c r="C10" s="54">
        <v>0.1203222863615426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5.6424645856824412E-2</v>
      </c>
      <c r="D14" s="54">
        <v>5.6424645856824412E-2</v>
      </c>
      <c r="E14" s="54">
        <v>5.6424645856824412E-2</v>
      </c>
      <c r="F14" s="54">
        <v>5.6424645856824412E-2</v>
      </c>
    </row>
    <row r="15" spans="1:8" ht="15.75" customHeight="1" x14ac:dyDescent="0.2">
      <c r="B15" s="16" t="s">
        <v>88</v>
      </c>
      <c r="C15" s="54">
        <v>0.15128929708227229</v>
      </c>
      <c r="D15" s="54">
        <v>0.15128929708227229</v>
      </c>
      <c r="E15" s="54">
        <v>0.15128929708227229</v>
      </c>
      <c r="F15" s="54">
        <v>0.15128929708227229</v>
      </c>
    </row>
    <row r="16" spans="1:8" ht="15.75" customHeight="1" x14ac:dyDescent="0.2">
      <c r="B16" s="16" t="s">
        <v>89</v>
      </c>
      <c r="C16" s="54">
        <v>1.692270862991653E-2</v>
      </c>
      <c r="D16" s="54">
        <v>1.692270862991653E-2</v>
      </c>
      <c r="E16" s="54">
        <v>1.692270862991653E-2</v>
      </c>
      <c r="F16" s="54">
        <v>1.692270862991653E-2</v>
      </c>
    </row>
    <row r="17" spans="1:8" ht="15.75" customHeight="1" x14ac:dyDescent="0.2">
      <c r="B17" s="16" t="s">
        <v>90</v>
      </c>
      <c r="C17" s="54">
        <v>3.5900491141412369E-3</v>
      </c>
      <c r="D17" s="54">
        <v>3.5900491141412369E-3</v>
      </c>
      <c r="E17" s="54">
        <v>3.5900491141412369E-3</v>
      </c>
      <c r="F17" s="54">
        <v>3.5900491141412369E-3</v>
      </c>
    </row>
    <row r="18" spans="1:8" ht="15.75" customHeight="1" x14ac:dyDescent="0.2">
      <c r="B18" s="16" t="s">
        <v>91</v>
      </c>
      <c r="C18" s="54">
        <v>6.4973177356513563E-4</v>
      </c>
      <c r="D18" s="54">
        <v>6.4973177356513563E-4</v>
      </c>
      <c r="E18" s="54">
        <v>6.4973177356513563E-4</v>
      </c>
      <c r="F18" s="54">
        <v>6.4973177356513563E-4</v>
      </c>
    </row>
    <row r="19" spans="1:8" ht="15.75" customHeight="1" x14ac:dyDescent="0.2">
      <c r="B19" s="16" t="s">
        <v>92</v>
      </c>
      <c r="C19" s="54">
        <v>1.4137962799222879E-2</v>
      </c>
      <c r="D19" s="54">
        <v>1.4137962799222879E-2</v>
      </c>
      <c r="E19" s="54">
        <v>1.4137962799222879E-2</v>
      </c>
      <c r="F19" s="54">
        <v>1.4137962799222879E-2</v>
      </c>
    </row>
    <row r="20" spans="1:8" ht="15.75" customHeight="1" x14ac:dyDescent="0.2">
      <c r="B20" s="16" t="s">
        <v>93</v>
      </c>
      <c r="C20" s="54">
        <v>2.230310535280439E-2</v>
      </c>
      <c r="D20" s="54">
        <v>2.230310535280439E-2</v>
      </c>
      <c r="E20" s="54">
        <v>2.230310535280439E-2</v>
      </c>
      <c r="F20" s="54">
        <v>2.230310535280439E-2</v>
      </c>
    </row>
    <row r="21" spans="1:8" ht="15.75" customHeight="1" x14ac:dyDescent="0.2">
      <c r="B21" s="16" t="s">
        <v>94</v>
      </c>
      <c r="C21" s="54">
        <v>0.14431566557052691</v>
      </c>
      <c r="D21" s="54">
        <v>0.14431566557052691</v>
      </c>
      <c r="E21" s="54">
        <v>0.14431566557052691</v>
      </c>
      <c r="F21" s="54">
        <v>0.14431566557052691</v>
      </c>
    </row>
    <row r="22" spans="1:8" ht="15.75" customHeight="1" x14ac:dyDescent="0.2">
      <c r="B22" s="16" t="s">
        <v>95</v>
      </c>
      <c r="C22" s="54">
        <v>0.59036683382072608</v>
      </c>
      <c r="D22" s="54">
        <v>0.59036683382072608</v>
      </c>
      <c r="E22" s="54">
        <v>0.59036683382072608</v>
      </c>
      <c r="F22" s="54">
        <v>0.59036683382072608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2.3699999999999999E-2</v>
      </c>
    </row>
    <row r="27" spans="1:8" ht="15.75" customHeight="1" x14ac:dyDescent="0.2">
      <c r="B27" s="16" t="s">
        <v>102</v>
      </c>
      <c r="C27" s="54">
        <v>2.06E-2</v>
      </c>
    </row>
    <row r="28" spans="1:8" ht="15.75" customHeight="1" x14ac:dyDescent="0.2">
      <c r="B28" s="16" t="s">
        <v>103</v>
      </c>
      <c r="C28" s="54">
        <v>0.32409999999999989</v>
      </c>
    </row>
    <row r="29" spans="1:8" ht="15.75" customHeight="1" x14ac:dyDescent="0.2">
      <c r="B29" s="16" t="s">
        <v>104</v>
      </c>
      <c r="C29" s="54">
        <v>0.1346</v>
      </c>
    </row>
    <row r="30" spans="1:8" ht="15.75" customHeight="1" x14ac:dyDescent="0.2">
      <c r="B30" s="16" t="s">
        <v>2</v>
      </c>
      <c r="C30" s="54">
        <v>2.7900000000000001E-2</v>
      </c>
    </row>
    <row r="31" spans="1:8" ht="15.75" customHeight="1" x14ac:dyDescent="0.2">
      <c r="B31" s="16" t="s">
        <v>105</v>
      </c>
      <c r="C31" s="54">
        <v>0.1225</v>
      </c>
    </row>
    <row r="32" spans="1:8" ht="15.75" customHeight="1" x14ac:dyDescent="0.2">
      <c r="B32" s="16" t="s">
        <v>106</v>
      </c>
      <c r="C32" s="54">
        <v>0.15629999999999999</v>
      </c>
    </row>
    <row r="33" spans="2:3" ht="15.75" customHeight="1" x14ac:dyDescent="0.2">
      <c r="B33" s="16" t="s">
        <v>107</v>
      </c>
      <c r="C33" s="54">
        <v>0.1075</v>
      </c>
    </row>
    <row r="34" spans="2:3" ht="15.75" customHeight="1" x14ac:dyDescent="0.2">
      <c r="B34" s="16" t="s">
        <v>108</v>
      </c>
      <c r="C34" s="54">
        <v>8.2799999997764828E-2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PM8FhIzaIanLXFihQ2zqxz7NIPKGEZcHF5icuLF9Ic8J7/cu3szRm+2Y60n2r9C3a2hLf+CudK5kacZJbmo9Ig==" saltValue="S7yWgj1khIUpKo9wLi2WH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0.73608285188674893</v>
      </c>
      <c r="D2" s="55">
        <v>0.73608285188674893</v>
      </c>
      <c r="E2" s="55">
        <v>0.71996015310287509</v>
      </c>
      <c r="F2" s="55">
        <v>0.66076374053955111</v>
      </c>
      <c r="G2" s="55">
        <v>0.66273033618927002</v>
      </c>
    </row>
    <row r="3" spans="1:15" ht="15.75" customHeight="1" x14ac:dyDescent="0.2">
      <c r="B3" s="7" t="s">
        <v>113</v>
      </c>
      <c r="C3" s="55">
        <v>0.14981319010257699</v>
      </c>
      <c r="D3" s="55">
        <v>0.14981319010257699</v>
      </c>
      <c r="E3" s="55">
        <v>0.19267517328262301</v>
      </c>
      <c r="F3" s="55">
        <v>0.22139020264148701</v>
      </c>
      <c r="G3" s="55">
        <v>0.23397946357727101</v>
      </c>
    </row>
    <row r="4" spans="1:15" ht="15.75" customHeight="1" x14ac:dyDescent="0.2">
      <c r="B4" s="7" t="s">
        <v>114</v>
      </c>
      <c r="C4" s="56">
        <v>5.8150202035903903E-2</v>
      </c>
      <c r="D4" s="56">
        <v>5.8150202035903903E-2</v>
      </c>
      <c r="E4" s="56">
        <v>6.8319074809551197E-2</v>
      </c>
      <c r="F4" s="56">
        <v>9.4446957111358601E-2</v>
      </c>
      <c r="G4" s="56">
        <v>7.9866260290145902E-2</v>
      </c>
    </row>
    <row r="5" spans="1:15" ht="15.75" customHeight="1" x14ac:dyDescent="0.2">
      <c r="B5" s="7" t="s">
        <v>115</v>
      </c>
      <c r="C5" s="56">
        <v>5.5953759700059898E-2</v>
      </c>
      <c r="D5" s="56">
        <v>5.5953759700059898E-2</v>
      </c>
      <c r="E5" s="56">
        <v>1.9045589491724999E-2</v>
      </c>
      <c r="F5" s="56">
        <v>2.33990661799908E-2</v>
      </c>
      <c r="G5" s="56">
        <v>2.34239641577005E-2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0.70633894205093395</v>
      </c>
      <c r="D8" s="55">
        <v>0.70633894205093395</v>
      </c>
      <c r="E8" s="55">
        <v>0.75232464075088501</v>
      </c>
      <c r="F8" s="55">
        <v>0.80891650915145907</v>
      </c>
      <c r="G8" s="55">
        <v>0.79866904020309404</v>
      </c>
    </row>
    <row r="9" spans="1:15" ht="15.75" customHeight="1" x14ac:dyDescent="0.2">
      <c r="B9" s="7" t="s">
        <v>118</v>
      </c>
      <c r="C9" s="55">
        <v>0.16987435519695299</v>
      </c>
      <c r="D9" s="55">
        <v>0.16987435519695299</v>
      </c>
      <c r="E9" s="55">
        <v>0.20913606882095301</v>
      </c>
      <c r="F9" s="55">
        <v>0.14399124681949599</v>
      </c>
      <c r="G9" s="55">
        <v>0.15254124999046301</v>
      </c>
    </row>
    <row r="10" spans="1:15" ht="15.75" customHeight="1" x14ac:dyDescent="0.2">
      <c r="B10" s="7" t="s">
        <v>119</v>
      </c>
      <c r="C10" s="56">
        <v>9.8971642553806305E-2</v>
      </c>
      <c r="D10" s="56">
        <v>9.8971642553806305E-2</v>
      </c>
      <c r="E10" s="56">
        <v>2.5978283956646898E-2</v>
      </c>
      <c r="F10" s="56">
        <v>3.1655482947826399E-2</v>
      </c>
      <c r="G10" s="56">
        <v>3.62183935940266E-2</v>
      </c>
    </row>
    <row r="11" spans="1:15" ht="15.75" customHeight="1" x14ac:dyDescent="0.2">
      <c r="B11" s="7" t="s">
        <v>120</v>
      </c>
      <c r="C11" s="56">
        <v>2.4815039709210399E-2</v>
      </c>
      <c r="D11" s="56">
        <v>2.4815039709210399E-2</v>
      </c>
      <c r="E11" s="56">
        <v>1.25609748065472E-2</v>
      </c>
      <c r="F11" s="56">
        <v>1.5436737798154399E-2</v>
      </c>
      <c r="G11" s="56">
        <v>1.25713162124157E-2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0.72000545300000018</v>
      </c>
      <c r="D14" s="57">
        <v>0.69848994093299988</v>
      </c>
      <c r="E14" s="57">
        <v>0.69848994093299988</v>
      </c>
      <c r="F14" s="57">
        <v>0.198210452137</v>
      </c>
      <c r="G14" s="57">
        <v>0.198210452137</v>
      </c>
      <c r="H14" s="58">
        <v>0.40200000000000002</v>
      </c>
      <c r="I14" s="58">
        <v>0.40200000000000002</v>
      </c>
      <c r="J14" s="58">
        <v>0.40200000000000002</v>
      </c>
      <c r="K14" s="58">
        <v>0.40200000000000002</v>
      </c>
      <c r="L14" s="58">
        <v>9.2620671467399995E-2</v>
      </c>
      <c r="M14" s="58">
        <v>0.12297905400009999</v>
      </c>
      <c r="N14" s="58">
        <v>0.1119387003516</v>
      </c>
      <c r="O14" s="58">
        <v>0.11651154745849999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0.39946422115193481</v>
      </c>
      <c r="D15" s="55">
        <f t="shared" si="0"/>
        <v>0.3875272597932139</v>
      </c>
      <c r="E15" s="55">
        <f t="shared" si="0"/>
        <v>0.3875272597932139</v>
      </c>
      <c r="F15" s="55">
        <f t="shared" si="0"/>
        <v>0.10996858920605916</v>
      </c>
      <c r="G15" s="55">
        <f t="shared" si="0"/>
        <v>0.10996858920605916</v>
      </c>
      <c r="H15" s="55">
        <f t="shared" si="0"/>
        <v>0.22303250098173599</v>
      </c>
      <c r="I15" s="55">
        <f t="shared" si="0"/>
        <v>0.22303250098173599</v>
      </c>
      <c r="J15" s="55">
        <f t="shared" si="0"/>
        <v>0.22303250098173599</v>
      </c>
      <c r="K15" s="55">
        <f t="shared" si="0"/>
        <v>0.22303250098173599</v>
      </c>
      <c r="L15" s="55">
        <f t="shared" si="0"/>
        <v>5.1386616915377943E-2</v>
      </c>
      <c r="M15" s="55">
        <f t="shared" si="0"/>
        <v>6.8229666621916082E-2</v>
      </c>
      <c r="N15" s="55">
        <f t="shared" si="0"/>
        <v>6.2104398746424067E-2</v>
      </c>
      <c r="O15" s="55">
        <f t="shared" si="0"/>
        <v>6.4641447320700193E-2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hTSAH4pFzOrnluZcSjZeDZM+OxqPy6+rHPNCf3BQtqXmouciApwj4+FwxuFUgo81P3AwEcvQYyCKiMyHEQ5hXw==" saltValue="JYK65IOsoFmmT+irv8QY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0.23053781509999999</v>
      </c>
      <c r="D2" s="56">
        <v>0.14422682000000001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0.33883633000000002</v>
      </c>
      <c r="D3" s="56">
        <v>0.25754768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0.29171679</v>
      </c>
      <c r="D4" s="56">
        <v>0.27459610000000001</v>
      </c>
      <c r="E4" s="56">
        <v>0.48001733422279402</v>
      </c>
      <c r="F4" s="56">
        <v>0.244750931859016</v>
      </c>
      <c r="G4" s="56">
        <v>0</v>
      </c>
    </row>
    <row r="5" spans="1:7" x14ac:dyDescent="0.2">
      <c r="B5" s="98" t="s">
        <v>132</v>
      </c>
      <c r="C5" s="55">
        <v>0.13890906489999999</v>
      </c>
      <c r="D5" s="55">
        <v>0.32362940000000001</v>
      </c>
      <c r="E5" s="55">
        <v>0.51998266577720598</v>
      </c>
      <c r="F5" s="55">
        <v>0.75524906814098403</v>
      </c>
      <c r="G5" s="55">
        <v>1</v>
      </c>
    </row>
  </sheetData>
  <sheetProtection algorithmName="SHA-512" hashValue="nWAsA5kxZGYNEzBhIcQ5B4IlU771ZcTw94RnOBqNolk5Z0EtRofHEokorQOlnRanixKw6MWV3KuOHVyVCD26MA==" saltValue="yozmT2aFPYgZXtqV5Ap2w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lEgqwLLB18yfwVrUvJC8CSOj9e9R1jO9COWN231aitYFvyO0+TEa+xDLikhJQABm7kGUcQfS73GO6hIGh0CvdQ==" saltValue="euufNNQZGwBKci2s/Sz2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bP0zUqELU7jWjbHtvQ9uNc5apSzQYiMn2sAKDAZ+i8iewDrl38VEWqiw9qgcGxHEk0Iccf1N4FQ7uTqCQt+V5A==" saltValue="Zfx1lDRgEo05tZ2NMa1x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JpVwSPRZGrZuayXerBRKw5dPDeIsi/6ZdcA/nsUH6yNztpBpvlgkVc4SoGBbj3D/WW17ZRCxQm7+iPPVTQ55lg==" saltValue="dTbYlV4uDOkG2P7+uPSe3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lZZclvGJpnw6mwpRbUINQ/J3OTYj4jXSdHBtNrJJ2r1SL0bJWKlV2RvfUqzAvICzbh9hSKZCqI1rpdMKFHBchA==" saltValue="qaYHPjFQnx+EK7eHxvJfZ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2022-02-02T08:37:43Z</dcterms:modified>
</cp:coreProperties>
</file>