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DAFF4896-FAD0-4135-A0D8-EB26F9AA1C41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H11" i="2"/>
  <c r="G11" i="2"/>
  <c r="H10" i="2"/>
  <c r="I10" i="2" s="1"/>
  <c r="G10" i="2"/>
  <c r="H9" i="2"/>
  <c r="G9" i="2"/>
  <c r="H8" i="2"/>
  <c r="G8" i="2"/>
  <c r="I8" i="2" s="1"/>
  <c r="H7" i="2"/>
  <c r="G7" i="2"/>
  <c r="H6" i="2"/>
  <c r="G6" i="2"/>
  <c r="H5" i="2"/>
  <c r="G5" i="2"/>
  <c r="I5" i="2" s="1"/>
  <c r="H4" i="2"/>
  <c r="I4" i="2" s="1"/>
  <c r="G4" i="2"/>
  <c r="H3" i="2"/>
  <c r="G3" i="2"/>
  <c r="I3" i="2" s="1"/>
  <c r="H2" i="2"/>
  <c r="G2" i="2"/>
  <c r="A2" i="2"/>
  <c r="A40" i="2" s="1"/>
  <c r="C33" i="1"/>
  <c r="C20" i="1"/>
  <c r="I2" i="2" l="1"/>
  <c r="I6" i="2"/>
  <c r="I11" i="2"/>
  <c r="I38" i="2"/>
  <c r="A23" i="2"/>
  <c r="A25" i="2"/>
  <c r="A34" i="2"/>
  <c r="A15" i="2"/>
  <c r="A26" i="2"/>
  <c r="A3" i="2"/>
  <c r="I9" i="2"/>
  <c r="A16" i="2"/>
  <c r="A27" i="2"/>
  <c r="A24" i="2"/>
  <c r="A17" i="2"/>
  <c r="A31" i="2"/>
  <c r="A39" i="2"/>
  <c r="A35" i="2"/>
  <c r="A18" i="2"/>
  <c r="A32" i="2"/>
  <c r="I39" i="2"/>
  <c r="I7" i="2"/>
  <c r="A19" i="2"/>
  <c r="A33" i="2"/>
  <c r="A20" i="2"/>
  <c r="A36" i="2"/>
  <c r="A4" i="2"/>
  <c r="A5" i="2" s="1"/>
  <c r="A6" i="2" s="1"/>
  <c r="A7" i="2" s="1"/>
  <c r="A8" i="2" s="1"/>
  <c r="A9" i="2" s="1"/>
  <c r="A10" i="2" s="1"/>
  <c r="A11" i="2" s="1"/>
  <c r="A12" i="2"/>
  <c r="A28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<sst xmlns="http://schemas.openxmlformats.org/spreadsheetml/2006/main" count="2092" uniqueCount="337">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</sst>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662573.421875</v>
      </c>
    </row>
    <row r="8" spans="1:3" ht="15" customHeight="1" x14ac:dyDescent="0.2">
      <c r="B8" s="7" t="s">
        <v>19</v>
      </c>
      <c r="C8" s="46">
        <v>0.10199999999999999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0.91188728330000002</v>
      </c>
    </row>
    <row r="11" spans="1:3" ht="15" customHeight="1" x14ac:dyDescent="0.2">
      <c r="B11" s="7" t="s">
        <v>22</v>
      </c>
      <c r="C11" s="46">
        <v>0.96400000000000008</v>
      </c>
    </row>
    <row r="12" spans="1:3" ht="15" customHeight="1" x14ac:dyDescent="0.2">
      <c r="B12" s="7" t="s">
        <v>23</v>
      </c>
      <c r="C12" s="46">
        <v>0.59299999999999997</v>
      </c>
    </row>
    <row r="13" spans="1:3" ht="15" customHeight="1" x14ac:dyDescent="0.2">
      <c r="B13" s="7" t="s">
        <v>24</v>
      </c>
      <c r="C13" s="46">
        <v>0.24399999999999999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7.4900000000000008E-2</v>
      </c>
    </row>
    <row r="24" spans="1:3" ht="15" customHeight="1" x14ac:dyDescent="0.2">
      <c r="B24" s="12" t="s">
        <v>33</v>
      </c>
      <c r="C24" s="47">
        <v>0.61209999999999998</v>
      </c>
    </row>
    <row r="25" spans="1:3" ht="15" customHeight="1" x14ac:dyDescent="0.2">
      <c r="B25" s="12" t="s">
        <v>34</v>
      </c>
      <c r="C25" s="47">
        <v>0.29770000000000002</v>
      </c>
    </row>
    <row r="26" spans="1:3" ht="15" customHeight="1" x14ac:dyDescent="0.2">
      <c r="B26" s="12" t="s">
        <v>35</v>
      </c>
      <c r="C26" s="47">
        <v>1.5299999999999999E-2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23.623684359984999</v>
      </c>
    </row>
    <row r="38" spans="1:5" ht="15" customHeight="1" x14ac:dyDescent="0.2">
      <c r="B38" s="28" t="s">
        <v>45</v>
      </c>
      <c r="C38" s="117">
        <v>36.321638351999503</v>
      </c>
      <c r="D38" s="9"/>
      <c r="E38" s="10"/>
    </row>
    <row r="39" spans="1:5" ht="15" customHeight="1" x14ac:dyDescent="0.2">
      <c r="B39" s="28" t="s">
        <v>46</v>
      </c>
      <c r="C39" s="117">
        <v>42.030353197422301</v>
      </c>
      <c r="D39" s="9"/>
      <c r="E39" s="9"/>
    </row>
    <row r="40" spans="1:5" ht="15" customHeight="1" x14ac:dyDescent="0.2">
      <c r="B40" s="28" t="s">
        <v>47</v>
      </c>
      <c r="C40" s="117">
        <v>7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8.5830836720000008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2.18871E-2</v>
      </c>
      <c r="D45" s="9"/>
    </row>
    <row r="46" spans="1:5" ht="15.75" customHeight="1" x14ac:dyDescent="0.2">
      <c r="B46" s="28" t="s">
        <v>52</v>
      </c>
      <c r="C46" s="47">
        <v>7.6522099999999996E-2</v>
      </c>
      <c r="D46" s="9"/>
    </row>
    <row r="47" spans="1:5" ht="15.75" customHeight="1" x14ac:dyDescent="0.2">
      <c r="B47" s="28" t="s">
        <v>53</v>
      </c>
      <c r="C47" s="47">
        <v>0.11290749999999999</v>
      </c>
      <c r="D47" s="9"/>
      <c r="E47" s="10"/>
    </row>
    <row r="48" spans="1:5" ht="15" customHeight="1" x14ac:dyDescent="0.2">
      <c r="B48" s="28" t="s">
        <v>54</v>
      </c>
      <c r="C48" s="48">
        <v>0.78868329999999998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2.8</v>
      </c>
      <c r="D51" s="9"/>
    </row>
    <row r="52" spans="1:4" ht="15" customHeight="1" x14ac:dyDescent="0.2">
      <c r="B52" s="28" t="s">
        <v>57</v>
      </c>
      <c r="C52" s="51">
        <v>2.8</v>
      </c>
    </row>
    <row r="53" spans="1:4" ht="15.75" customHeight="1" x14ac:dyDescent="0.2">
      <c r="B53" s="28" t="s">
        <v>58</v>
      </c>
      <c r="C53" s="51">
        <v>2.8</v>
      </c>
    </row>
    <row r="54" spans="1:4" ht="15.75" customHeight="1" x14ac:dyDescent="0.2">
      <c r="B54" s="28" t="s">
        <v>59</v>
      </c>
      <c r="C54" s="51">
        <v>2.8</v>
      </c>
    </row>
    <row r="55" spans="1:4" ht="15.75" customHeight="1" x14ac:dyDescent="0.2">
      <c r="B55" s="28" t="s">
        <v>60</v>
      </c>
      <c r="C55" s="51">
        <v>2.8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1.6202203499675959E-2</v>
      </c>
    </row>
    <row r="59" spans="1:4" ht="15.75" customHeight="1" x14ac:dyDescent="0.2">
      <c r="B59" s="28" t="s">
        <v>63</v>
      </c>
      <c r="C59" s="46">
        <v>0.51600139039200654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4.9276065999999901</v>
      </c>
    </row>
    <row r="63" spans="1:4" ht="15.75" customHeight="1" x14ac:dyDescent="0.2">
      <c r="A63" s="39"/>
    </row>
  </sheetData>
  <sheetProtection algorithmName="SHA-512" hashValue="zFwMxXTQuBAJM47MbWBqYp1xxZMIjFZuiqJJf0V3CxdazmOOWkL7Q+ld9E/e1FNAe51bbGhJXp+Mm7exu2pGXQ==" saltValue="daJAJ0X69ZVttiF8Njd9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0.234346059763092</v>
      </c>
      <c r="C2" s="115">
        <v>0.95</v>
      </c>
      <c r="D2" s="116">
        <v>72.351141899226846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40.201134503803019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638.93341427961911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2.8443618658997272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13.33343394759892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13.33343394759892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13.33343394759892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13.33343394759892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13.33343394759892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13.33343394759892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1.0401997474942739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0.81583616000000003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0.69382102970000004</v>
      </c>
      <c r="C18" s="115">
        <v>0.95</v>
      </c>
      <c r="D18" s="116">
        <v>14.66212526903235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0.69382102970000004</v>
      </c>
      <c r="C19" s="115">
        <v>0.95</v>
      </c>
      <c r="D19" s="116">
        <v>14.66212526903235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1</v>
      </c>
      <c r="C21" s="115">
        <v>0.95</v>
      </c>
      <c r="D21" s="116">
        <v>29.955109260431911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23.177689212558342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4.4801217271030671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0.74832009999999993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4.1544659999999999E-3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18.89030856229131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0.108910739421845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0.85</v>
      </c>
      <c r="C29" s="115">
        <v>0.95</v>
      </c>
      <c r="D29" s="116">
        <v>146.33522929722611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1.2942957108035691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2.266507375873271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0.60461379999999998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0.56961439056253094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0.99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1.3582871652768309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0.98699198472193506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Fxz9I7pHJBhjFJRd2BgKhzKfxTy0XGTcvbYJ7xxGFU4st7o9j3NorqPJI8exMldma23IshNizGyyo0jZuJKDVQ==" saltValue="dhllqU0apMyO6McUgscl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dBJGcV7PXt02RPmtL3Pjy6rWWwvpXw5VNOF9xb2Dzo4gemkZIbG/V/f2ZmyGDPBOxbCWxxQpEdNHKz2fwZInLA==" saltValue="Fto/v+iq5QYP/vHykcUiA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SmdwiRAWLzMBTQWnSamBn5TG9mhbfBQCr5nqyg9trhWEhpooGIAHeUyIJTRgzwoPkD3TVK1ej7DXm4whg9TfMw==" saltValue="VL7KPbfXNIbEx6WmF07w8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">
      <c r="A3" s="4" t="s">
        <v>209</v>
      </c>
      <c r="B3" s="18">
        <f>frac_mam_1month * 2.6</f>
        <v>0.20719377380000001</v>
      </c>
      <c r="C3" s="18">
        <f>frac_mam_1_5months * 2.6</f>
        <v>0.20719377380000001</v>
      </c>
      <c r="D3" s="18">
        <f>frac_mam_6_11months * 2.6</f>
        <v>0.19644721720000002</v>
      </c>
      <c r="E3" s="18">
        <f>frac_mam_12_23months * 2.6</f>
        <v>3.8943514999999998E-2</v>
      </c>
      <c r="F3" s="18">
        <f>frac_mam_24_59months * 2.6</f>
        <v>5.7028361E-2</v>
      </c>
    </row>
    <row r="4" spans="1:6" ht="15.75" customHeight="1" x14ac:dyDescent="0.2">
      <c r="A4" s="4" t="s">
        <v>208</v>
      </c>
      <c r="B4" s="18">
        <f>frac_sam_1month * 2.6</f>
        <v>9.954471279999999E-2</v>
      </c>
      <c r="C4" s="18">
        <f>frac_sam_1_5months * 2.6</f>
        <v>9.954471279999999E-2</v>
      </c>
      <c r="D4" s="18">
        <f>frac_sam_6_11months * 2.6</f>
        <v>2.56313928E-2</v>
      </c>
      <c r="E4" s="18">
        <f>frac_sam_12_23months * 2.6</f>
        <v>1.6310057919999999E-2</v>
      </c>
      <c r="F4" s="18">
        <f>frac_sam_24_59months * 2.6</f>
        <v>2.3614183060000002E-2</v>
      </c>
    </row>
  </sheetData>
  <sheetProtection algorithmName="SHA-512" hashValue="tJyBopyeLB0117+RfnKqVp8aGFOWoSSB/WNhTAFXSNkxjomgyZFBZsEaqBokYRAc6k69mNuSafWBfQdoGlOXsg==" saltValue="0j6lTk9VY8J1l89Ba848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0.10199999999999999</v>
      </c>
      <c r="E2" s="65">
        <f>food_insecure</f>
        <v>0.10199999999999999</v>
      </c>
      <c r="F2" s="65">
        <f>food_insecure</f>
        <v>0.10199999999999999</v>
      </c>
      <c r="G2" s="65">
        <f>food_insecure</f>
        <v>0.10199999999999999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0.10199999999999999</v>
      </c>
      <c r="F5" s="65">
        <f>food_insecure</f>
        <v>0.10199999999999999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0.10199999999999999</v>
      </c>
      <c r="F8" s="65">
        <f>food_insecure</f>
        <v>0.10199999999999999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0.10199999999999999</v>
      </c>
      <c r="F9" s="65">
        <f>food_insecure</f>
        <v>0.10199999999999999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0.59299999999999997</v>
      </c>
      <c r="E10" s="65">
        <f>IF(ISBLANK(comm_deliv), frac_children_health_facility,1)</f>
        <v>0.59299999999999997</v>
      </c>
      <c r="F10" s="65">
        <f>IF(ISBLANK(comm_deliv), frac_children_health_facility,1)</f>
        <v>0.59299999999999997</v>
      </c>
      <c r="G10" s="65">
        <f>IF(ISBLANK(comm_deliv), frac_children_health_facility,1)</f>
        <v>0.59299999999999997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0.10199999999999999</v>
      </c>
      <c r="I15" s="65">
        <f>food_insecure</f>
        <v>0.10199999999999999</v>
      </c>
      <c r="J15" s="65">
        <f>food_insecure</f>
        <v>0.10199999999999999</v>
      </c>
      <c r="K15" s="65">
        <f>food_insecure</f>
        <v>0.10199999999999999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0.96400000000000008</v>
      </c>
      <c r="I18" s="65">
        <f>frac_PW_health_facility</f>
        <v>0.96400000000000008</v>
      </c>
      <c r="J18" s="65">
        <f>frac_PW_health_facility</f>
        <v>0.96400000000000008</v>
      </c>
      <c r="K18" s="65">
        <f>frac_PW_health_facility</f>
        <v>0.96400000000000008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0.24399999999999999</v>
      </c>
      <c r="M24" s="65">
        <f>famplan_unmet_need</f>
        <v>0.24399999999999999</v>
      </c>
      <c r="N24" s="65">
        <f>famplan_unmet_need</f>
        <v>0.24399999999999999</v>
      </c>
      <c r="O24" s="65">
        <f>famplan_unmet_need</f>
        <v>0.24399999999999999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4.506260557471399E-2</v>
      </c>
      <c r="M25" s="65">
        <f>(1-food_insecure)*(0.49)+food_insecure*(0.7)</f>
        <v>0.51141999999999999</v>
      </c>
      <c r="N25" s="65">
        <f>(1-food_insecure)*(0.49)+food_insecure*(0.7)</f>
        <v>0.51141999999999999</v>
      </c>
      <c r="O25" s="65">
        <f>(1-food_insecure)*(0.49)+food_insecure*(0.7)</f>
        <v>0.51141999999999999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1.9312545246305993E-2</v>
      </c>
      <c r="M26" s="65">
        <f>(1-food_insecure)*(0.21)+food_insecure*(0.3)</f>
        <v>0.21917999999999999</v>
      </c>
      <c r="N26" s="65">
        <f>(1-food_insecure)*(0.21)+food_insecure*(0.3)</f>
        <v>0.21917999999999999</v>
      </c>
      <c r="O26" s="65">
        <f>(1-food_insecure)*(0.21)+food_insecure*(0.3)</f>
        <v>0.21917999999999999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2.3737565878979992E-2</v>
      </c>
      <c r="M27" s="65">
        <f>(1-food_insecure)*(0.3)</f>
        <v>0.26939999999999997</v>
      </c>
      <c r="N27" s="65">
        <f>(1-food_insecure)*(0.3)</f>
        <v>0.26939999999999997</v>
      </c>
      <c r="O27" s="65">
        <f>(1-food_insecure)*(0.3)</f>
        <v>0.26939999999999997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0.91188728330000002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HEOl75qcEB9pBRQuhSLg1IHY8VMFGhr9Vgs+UamdXlMiPjTkgauwuFc1arkobjspH8lI0JrF0pg884X7VJ43dg==" saltValue="avXwWM5UaCHg3BEJD7ND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py1XL8odtQXADImyTzGSCMtwucY31eX/krgLLssG5ZyiHre6xAwGXr5OfcrJlyurw4WT6phMRsek/oeC1FmkJQ==" saltValue="ExPtQZ/P6AiUKh/NxaAlY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AneDUiCVdV1KG1GKOJT56q++opvB7oe47d1kE4YLBHgSr3K8axetvIQ1iyVmV+DasOFO85ANQ2cKd+fMgHKxhQ==" saltValue="OknTyJENULYGal+AYgt1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r6hyKFe/4f0N4nNWb+myQj231ed1QdbxXRi03NKTMF8Wlf/XU9IiPVWrJwhosDjK5SM0KSJR0Mbje3kvpoe2IQ==" saltValue="rsl6oXiEPhmLPFxi7TlSx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jOxKNEMipihkrdtGu5zs7yntFhBZ716JHduwvpx7TbuETfuQ+N+XQg8mghAFquWTzLLOKU8zUqSObGHZbQ2Lmg==" saltValue="QzHrVM9565LPSq6k2d2xw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hR2nOs5WTk2SXz623PNur8B26XrOJ4oAOpX5L9gtuLOQJunlqRQFLfTVr4GgKENZgeQ2eovZ2sqby8yvtXruvQ==" saltValue="TtXRf6IgHr7PJWGgaLjlR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132902.83559999999</v>
      </c>
      <c r="C2" s="53">
        <v>242000</v>
      </c>
      <c r="D2" s="53">
        <v>492000</v>
      </c>
      <c r="E2" s="53">
        <v>2723000</v>
      </c>
      <c r="F2" s="53">
        <v>1714000</v>
      </c>
      <c r="G2" s="14">
        <f t="shared" ref="G2:G11" si="0">C2+D2+E2+F2</f>
        <v>5171000</v>
      </c>
      <c r="H2" s="14">
        <f t="shared" ref="H2:H11" si="1">(B2 + stillbirth*B2/(1000-stillbirth))/(1-abortion)</f>
        <v>140517.21947982509</v>
      </c>
      <c r="I2" s="14">
        <f t="shared" ref="I2:I11" si="2">G2-H2</f>
        <v>5030482.7805201747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131009.72</v>
      </c>
      <c r="C3" s="53">
        <v>244000</v>
      </c>
      <c r="D3" s="53">
        <v>482000</v>
      </c>
      <c r="E3" s="53">
        <v>2828000</v>
      </c>
      <c r="F3" s="53">
        <v>1787000</v>
      </c>
      <c r="G3" s="14">
        <f t="shared" si="0"/>
        <v>5341000</v>
      </c>
      <c r="H3" s="14">
        <f t="shared" si="1"/>
        <v>138515.6418681441</v>
      </c>
      <c r="I3" s="14">
        <f t="shared" si="2"/>
        <v>5202484.3581318557</v>
      </c>
    </row>
    <row r="4" spans="1:9" ht="15.75" customHeight="1" x14ac:dyDescent="0.2">
      <c r="A4" s="7">
        <f t="shared" si="3"/>
        <v>2023</v>
      </c>
      <c r="B4" s="52">
        <v>128935.4976</v>
      </c>
      <c r="C4" s="53">
        <v>245000</v>
      </c>
      <c r="D4" s="53">
        <v>474000</v>
      </c>
      <c r="E4" s="53">
        <v>2938000</v>
      </c>
      <c r="F4" s="53">
        <v>1862000</v>
      </c>
      <c r="G4" s="14">
        <f t="shared" si="0"/>
        <v>5519000</v>
      </c>
      <c r="H4" s="14">
        <f t="shared" si="1"/>
        <v>136322.58132948112</v>
      </c>
      <c r="I4" s="14">
        <f t="shared" si="2"/>
        <v>5382677.4186705193</v>
      </c>
    </row>
    <row r="5" spans="1:9" ht="15.75" customHeight="1" x14ac:dyDescent="0.2">
      <c r="A5" s="7">
        <f t="shared" si="3"/>
        <v>2024</v>
      </c>
      <c r="B5" s="52">
        <v>126727.1992</v>
      </c>
      <c r="C5" s="53">
        <v>249000</v>
      </c>
      <c r="D5" s="53">
        <v>467000</v>
      </c>
      <c r="E5" s="53">
        <v>3052000</v>
      </c>
      <c r="F5" s="53">
        <v>1939000</v>
      </c>
      <c r="G5" s="14">
        <f t="shared" si="0"/>
        <v>5707000</v>
      </c>
      <c r="H5" s="14">
        <f t="shared" si="1"/>
        <v>133987.76319299176</v>
      </c>
      <c r="I5" s="14">
        <f t="shared" si="2"/>
        <v>5573012.2368070083</v>
      </c>
    </row>
    <row r="6" spans="1:9" ht="15.75" customHeight="1" x14ac:dyDescent="0.2">
      <c r="A6" s="7">
        <f t="shared" si="3"/>
        <v>2025</v>
      </c>
      <c r="B6" s="52">
        <v>124388.402</v>
      </c>
      <c r="C6" s="53">
        <v>257000</v>
      </c>
      <c r="D6" s="53">
        <v>463000</v>
      </c>
      <c r="E6" s="53">
        <v>3172000</v>
      </c>
      <c r="F6" s="53">
        <v>2017000</v>
      </c>
      <c r="G6" s="14">
        <f t="shared" si="0"/>
        <v>5909000</v>
      </c>
      <c r="H6" s="14">
        <f t="shared" si="1"/>
        <v>131514.96960670353</v>
      </c>
      <c r="I6" s="14">
        <f t="shared" si="2"/>
        <v>5777485.0303932969</v>
      </c>
    </row>
    <row r="7" spans="1:9" ht="15.75" customHeight="1" x14ac:dyDescent="0.2">
      <c r="A7" s="7">
        <f t="shared" si="3"/>
        <v>2026</v>
      </c>
      <c r="B7" s="52">
        <v>123600.4192</v>
      </c>
      <c r="C7" s="53">
        <v>269000</v>
      </c>
      <c r="D7" s="53">
        <v>463000</v>
      </c>
      <c r="E7" s="53">
        <v>3292000</v>
      </c>
      <c r="F7" s="53">
        <v>2097000</v>
      </c>
      <c r="G7" s="14">
        <f t="shared" si="0"/>
        <v>6121000</v>
      </c>
      <c r="H7" s="14">
        <f t="shared" si="1"/>
        <v>130681.84101652673</v>
      </c>
      <c r="I7" s="14">
        <f t="shared" si="2"/>
        <v>5990318.1589834737</v>
      </c>
    </row>
    <row r="8" spans="1:9" ht="15.75" customHeight="1" x14ac:dyDescent="0.2">
      <c r="A8" s="7">
        <f t="shared" si="3"/>
        <v>2027</v>
      </c>
      <c r="B8" s="52">
        <v>122727.8812</v>
      </c>
      <c r="C8" s="53">
        <v>285000</v>
      </c>
      <c r="D8" s="53">
        <v>465000</v>
      </c>
      <c r="E8" s="53">
        <v>3418000</v>
      </c>
      <c r="F8" s="53">
        <v>2178000</v>
      </c>
      <c r="G8" s="14">
        <f t="shared" si="0"/>
        <v>6346000</v>
      </c>
      <c r="H8" s="14">
        <f t="shared" si="1"/>
        <v>129759.31281690652</v>
      </c>
      <c r="I8" s="14">
        <f t="shared" si="2"/>
        <v>6216240.6871830933</v>
      </c>
    </row>
    <row r="9" spans="1:9" ht="15.75" customHeight="1" x14ac:dyDescent="0.2">
      <c r="A9" s="7">
        <f t="shared" si="3"/>
        <v>2028</v>
      </c>
      <c r="B9" s="52">
        <v>121772.7824</v>
      </c>
      <c r="C9" s="53">
        <v>303000</v>
      </c>
      <c r="D9" s="53">
        <v>470000</v>
      </c>
      <c r="E9" s="53">
        <v>3547000</v>
      </c>
      <c r="F9" s="53">
        <v>2263000</v>
      </c>
      <c r="G9" s="14">
        <f t="shared" si="0"/>
        <v>6583000</v>
      </c>
      <c r="H9" s="14">
        <f t="shared" si="1"/>
        <v>128749.49367272778</v>
      </c>
      <c r="I9" s="14">
        <f t="shared" si="2"/>
        <v>6454250.5063272724</v>
      </c>
    </row>
    <row r="10" spans="1:9" ht="15.75" customHeight="1" x14ac:dyDescent="0.2">
      <c r="A10" s="7">
        <f t="shared" si="3"/>
        <v>2029</v>
      </c>
      <c r="B10" s="52">
        <v>120737.11719999999</v>
      </c>
      <c r="C10" s="53">
        <v>318000</v>
      </c>
      <c r="D10" s="53">
        <v>479000</v>
      </c>
      <c r="E10" s="53">
        <v>3684000</v>
      </c>
      <c r="F10" s="53">
        <v>2351000</v>
      </c>
      <c r="G10" s="14">
        <f t="shared" si="0"/>
        <v>6832000</v>
      </c>
      <c r="H10" s="14">
        <f t="shared" si="1"/>
        <v>127654.49224887542</v>
      </c>
      <c r="I10" s="14">
        <f t="shared" si="2"/>
        <v>6704345.5077511249</v>
      </c>
    </row>
    <row r="11" spans="1:9" ht="15.75" customHeight="1" x14ac:dyDescent="0.2">
      <c r="A11" s="7">
        <f t="shared" si="3"/>
        <v>2030</v>
      </c>
      <c r="B11" s="52">
        <v>119640.56</v>
      </c>
      <c r="C11" s="53">
        <v>328000</v>
      </c>
      <c r="D11" s="53">
        <v>490000</v>
      </c>
      <c r="E11" s="53">
        <v>3825000</v>
      </c>
      <c r="F11" s="53">
        <v>2444000</v>
      </c>
      <c r="G11" s="14">
        <f t="shared" si="0"/>
        <v>7087000</v>
      </c>
      <c r="H11" s="14">
        <f t="shared" si="1"/>
        <v>126495.11014804248</v>
      </c>
      <c r="I11" s="14">
        <f t="shared" si="2"/>
        <v>6960504.8898519576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16kPF6PwOGQuLteNJFaWOH+ucwSqKtQGtGvlqOw2suUoo2J8+rGpIjX5wl0rCqOVN+86WZqBarDqBJLAaGvPPw==" saltValue="6p90+g5+GcqrtxR/mujcb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oPlCjNpC1Fr/lE5iVXbaHX0/4FMFMJRDlILU6xyhBgdrSEq9TVWjOhJ04PwLzj4cLxkJWcN3X0lv5Tn3da9f5w==" saltValue="CmjZUciyfKOaBI2fn3gVr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iNYbXhx7L0X4S0NNOiz6qFxQjY9Vb+e95FJ+0Hy3TEv3uYRtlrQIHPioLzf3YhcXpW6RtyzwuaWmp+9fJzp9FA==" saltValue="rXDQgocAZGMF+xwfCREj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zTu4CoTOAQyMA6EbiCFgl+qXxa91fFC+iobvs6FKk4pMz+kCtoFs8ExXaRxh+ROgF4yrFPRFiFUxWUgXps73Jw==" saltValue="2SQP/nMhl8tq22U2ySsl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wrb4NEKaU5uGC1iciCxGUOe+pE+hp1ncuzZiUTH0vrmxtP63cMZSfasGoWjQN+2BolgCm+dm2lpYYXggGs2Gaw==" saltValue="yAxDg42QfyXYXW0ZAebA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DKPCHvxs3u/YoEcBWYGQinJ5KUenIbOI1fTGQVnu/v2sFtOr4YUtzzWYpadOdjhdOzq1fsYGkTe3qTGE8Wi7wg==" saltValue="QcJ8W0K/8/IgmhAMCwlJ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Ja9wlPwV/Zg5bbknJrq70roCumicScL9mUid3eVbDoocFtKgFIrfF7C7qFC1sjSPWCyOxmxWijgx2UeXwH4mSg==" saltValue="CeSPbCmsA08qeIs8tcNk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K9cif3Tk8WFbKo/vdjMb2blq9qoKI01YM8vz5jYEILszRrqOt4uLTOkMVgZlapxOyAnjaCA/g69ivYyj2gKgRg==" saltValue="rT1ofcyJoR9JA912gxL8P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KS6Knei8gaQiMAHPjJb1cXx+A1V6/y4GBzkyS/JSm7HJLgqjpGGiGddQ0zR5NUsw3ENvgVndp2IAWVoKD54QhA==" saltValue="bhrgoJ2SG1PFq0doWBd1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pOQbfVIx9H+9ruXb0g6NuVcKCF8VZADcxv47XFZdmZuZykW3mc0nLAikSPdQCnk8q5i3WaRetFIj/56tS3ZwzA==" saltValue="OYUYgfW8agThmStxPpzAx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3.4583642686509498E-3</v>
      </c>
    </row>
    <row r="4" spans="1:8" ht="15.75" customHeight="1" x14ac:dyDescent="0.2">
      <c r="B4" s="16" t="s">
        <v>79</v>
      </c>
      <c r="C4" s="54">
        <v>0.1285611814906408</v>
      </c>
    </row>
    <row r="5" spans="1:8" ht="15.75" customHeight="1" x14ac:dyDescent="0.2">
      <c r="B5" s="16" t="s">
        <v>80</v>
      </c>
      <c r="C5" s="54">
        <v>5.9191964366295563E-2</v>
      </c>
    </row>
    <row r="6" spans="1:8" ht="15.75" customHeight="1" x14ac:dyDescent="0.2">
      <c r="B6" s="16" t="s">
        <v>81</v>
      </c>
      <c r="C6" s="54">
        <v>0.25143428776766519</v>
      </c>
    </row>
    <row r="7" spans="1:8" ht="15.75" customHeight="1" x14ac:dyDescent="0.2">
      <c r="B7" s="16" t="s">
        <v>82</v>
      </c>
      <c r="C7" s="54">
        <v>0.32981081567853537</v>
      </c>
    </row>
    <row r="8" spans="1:8" ht="15.75" customHeight="1" x14ac:dyDescent="0.2">
      <c r="B8" s="16" t="s">
        <v>83</v>
      </c>
      <c r="C8" s="54">
        <v>4.700006136340279E-3</v>
      </c>
    </row>
    <row r="9" spans="1:8" ht="15.75" customHeight="1" x14ac:dyDescent="0.2">
      <c r="B9" s="16" t="s">
        <v>84</v>
      </c>
      <c r="C9" s="54">
        <v>0.13553746571048569</v>
      </c>
    </row>
    <row r="10" spans="1:8" ht="15.75" customHeight="1" x14ac:dyDescent="0.2">
      <c r="B10" s="16" t="s">
        <v>85</v>
      </c>
      <c r="C10" s="54">
        <v>8.7305914581386229E-2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0.1416785101219061</v>
      </c>
      <c r="D14" s="54">
        <v>0.1416785101219061</v>
      </c>
      <c r="E14" s="54">
        <v>0.1416785101219061</v>
      </c>
      <c r="F14" s="54">
        <v>0.1416785101219061</v>
      </c>
    </row>
    <row r="15" spans="1:8" ht="15.75" customHeight="1" x14ac:dyDescent="0.2">
      <c r="B15" s="16" t="s">
        <v>88</v>
      </c>
      <c r="C15" s="54">
        <v>0.25373854879672392</v>
      </c>
      <c r="D15" s="54">
        <v>0.25373854879672392</v>
      </c>
      <c r="E15" s="54">
        <v>0.25373854879672392</v>
      </c>
      <c r="F15" s="54">
        <v>0.25373854879672392</v>
      </c>
    </row>
    <row r="16" spans="1:8" ht="15.75" customHeight="1" x14ac:dyDescent="0.2">
      <c r="B16" s="16" t="s">
        <v>89</v>
      </c>
      <c r="C16" s="54">
        <v>2.0910557068154881E-2</v>
      </c>
      <c r="D16" s="54">
        <v>2.0910557068154881E-2</v>
      </c>
      <c r="E16" s="54">
        <v>2.0910557068154881E-2</v>
      </c>
      <c r="F16" s="54">
        <v>2.0910557068154881E-2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4.4798650906106192E-3</v>
      </c>
      <c r="D19" s="54">
        <v>4.4798650906106192E-3</v>
      </c>
      <c r="E19" s="54">
        <v>4.4798650906106192E-3</v>
      </c>
      <c r="F19" s="54">
        <v>4.4798650906106192E-3</v>
      </c>
    </row>
    <row r="20" spans="1:8" ht="15.75" customHeight="1" x14ac:dyDescent="0.2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94</v>
      </c>
      <c r="C21" s="54">
        <v>0.1164770408140386</v>
      </c>
      <c r="D21" s="54">
        <v>0.1164770408140386</v>
      </c>
      <c r="E21" s="54">
        <v>0.1164770408140386</v>
      </c>
      <c r="F21" s="54">
        <v>0.1164770408140386</v>
      </c>
    </row>
    <row r="22" spans="1:8" ht="15.75" customHeight="1" x14ac:dyDescent="0.2">
      <c r="B22" s="16" t="s">
        <v>95</v>
      </c>
      <c r="C22" s="54">
        <v>0.46271547810856573</v>
      </c>
      <c r="D22" s="54">
        <v>0.46271547810856573</v>
      </c>
      <c r="E22" s="54">
        <v>0.46271547810856573</v>
      </c>
      <c r="F22" s="54">
        <v>0.46271547810856573</v>
      </c>
    </row>
    <row r="23" spans="1:8" ht="15.75" customHeight="1" x14ac:dyDescent="0.2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5.5300000000000002E-2</v>
      </c>
    </row>
    <row r="27" spans="1:8" ht="15.75" customHeight="1" x14ac:dyDescent="0.2">
      <c r="B27" s="16" t="s">
        <v>102</v>
      </c>
      <c r="C27" s="54">
        <v>5.7500000000000002E-2</v>
      </c>
    </row>
    <row r="28" spans="1:8" ht="15.75" customHeight="1" x14ac:dyDescent="0.2">
      <c r="B28" s="16" t="s">
        <v>103</v>
      </c>
      <c r="C28" s="54">
        <v>0.12130000000000001</v>
      </c>
    </row>
    <row r="29" spans="1:8" ht="15.75" customHeight="1" x14ac:dyDescent="0.2">
      <c r="B29" s="16" t="s">
        <v>104</v>
      </c>
      <c r="C29" s="54">
        <v>0.1348</v>
      </c>
    </row>
    <row r="30" spans="1:8" ht="15.75" customHeight="1" x14ac:dyDescent="0.2">
      <c r="B30" s="16" t="s">
        <v>2</v>
      </c>
      <c r="C30" s="54">
        <v>8.2500000000000004E-2</v>
      </c>
    </row>
    <row r="31" spans="1:8" ht="15.75" customHeight="1" x14ac:dyDescent="0.2">
      <c r="B31" s="16" t="s">
        <v>105</v>
      </c>
      <c r="C31" s="54">
        <v>6.6000000000000003E-2</v>
      </c>
    </row>
    <row r="32" spans="1:8" ht="15.75" customHeight="1" x14ac:dyDescent="0.2">
      <c r="B32" s="16" t="s">
        <v>106</v>
      </c>
      <c r="C32" s="54">
        <v>0.13350000000000001</v>
      </c>
    </row>
    <row r="33" spans="2:3" ht="15.75" customHeight="1" x14ac:dyDescent="0.2">
      <c r="B33" s="16" t="s">
        <v>107</v>
      </c>
      <c r="C33" s="54">
        <v>0.12640000000000001</v>
      </c>
    </row>
    <row r="34" spans="2:3" ht="15.75" customHeight="1" x14ac:dyDescent="0.2">
      <c r="B34" s="16" t="s">
        <v>108</v>
      </c>
      <c r="C34" s="54">
        <v>0.22269999999552961</v>
      </c>
    </row>
    <row r="35" spans="2:3" ht="15.75" customHeight="1" x14ac:dyDescent="0.2">
      <c r="B35" s="24" t="s">
        <v>41</v>
      </c>
      <c r="C35" s="50">
        <f>SUM(C26:C34)</f>
        <v>0.99999999999552969</v>
      </c>
    </row>
  </sheetData>
  <sheetProtection algorithmName="SHA-512" hashValue="8k68pGJTXZKovVmZa+B2ON7KbVC2jH0LbCe+FOgXXEm/GeDIJUNH9OYRKQ3sBzJNA46xQRlQD0Zr1AjqXrl0YA==" saltValue="yQJs6XUo1WecDxYwPWjQw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0.86308403</v>
      </c>
      <c r="D2" s="55">
        <v>0.86308403</v>
      </c>
      <c r="E2" s="55">
        <v>0.82359131000000008</v>
      </c>
      <c r="F2" s="55">
        <v>0.69726067000000003</v>
      </c>
      <c r="G2" s="55">
        <v>0.74680908000000001</v>
      </c>
    </row>
    <row r="3" spans="1:15" ht="15.75" customHeight="1" x14ac:dyDescent="0.2">
      <c r="B3" s="7" t="s">
        <v>113</v>
      </c>
      <c r="C3" s="55">
        <v>7.0687599000000004E-2</v>
      </c>
      <c r="D3" s="55">
        <v>7.0687599000000004E-2</v>
      </c>
      <c r="E3" s="55">
        <v>0.10136749</v>
      </c>
      <c r="F3" s="55">
        <v>0.16208966999999999</v>
      </c>
      <c r="G3" s="55">
        <v>0.20235500000000001</v>
      </c>
    </row>
    <row r="4" spans="1:15" ht="15.75" customHeight="1" x14ac:dyDescent="0.2">
      <c r="B4" s="7" t="s">
        <v>114</v>
      </c>
      <c r="C4" s="56">
        <v>4.1479324999999997E-2</v>
      </c>
      <c r="D4" s="56">
        <v>4.1479324999999997E-2</v>
      </c>
      <c r="E4" s="56">
        <v>3.6602100999999998E-2</v>
      </c>
      <c r="F4" s="56">
        <v>8.3300876999999995E-2</v>
      </c>
      <c r="G4" s="56">
        <v>3.9109367999999999E-2</v>
      </c>
    </row>
    <row r="5" spans="1:15" ht="15.75" customHeight="1" x14ac:dyDescent="0.2">
      <c r="B5" s="7" t="s">
        <v>115</v>
      </c>
      <c r="C5" s="56">
        <v>2.4749057000000001E-2</v>
      </c>
      <c r="D5" s="56">
        <v>2.4749057000000001E-2</v>
      </c>
      <c r="E5" s="56">
        <v>3.8439107E-2</v>
      </c>
      <c r="F5" s="56">
        <v>5.7348771E-2</v>
      </c>
      <c r="G5" s="56">
        <v>1.1726581999999999E-2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0.66442718999999995</v>
      </c>
      <c r="D8" s="55">
        <v>0.66442718999999995</v>
      </c>
      <c r="E8" s="55">
        <v>0.75710701000000002</v>
      </c>
      <c r="F8" s="55">
        <v>0.84576552999999999</v>
      </c>
      <c r="G8" s="55">
        <v>0.86189948999999999</v>
      </c>
    </row>
    <row r="9" spans="1:15" ht="15.75" customHeight="1" x14ac:dyDescent="0.2">
      <c r="B9" s="7" t="s">
        <v>118</v>
      </c>
      <c r="C9" s="55">
        <v>0.21759645</v>
      </c>
      <c r="D9" s="55">
        <v>0.21759645</v>
      </c>
      <c r="E9" s="55">
        <v>0.15747815000000001</v>
      </c>
      <c r="F9" s="55">
        <v>0.13298309999999999</v>
      </c>
      <c r="G9" s="55">
        <v>0.10708415</v>
      </c>
    </row>
    <row r="10" spans="1:15" ht="15.75" customHeight="1" x14ac:dyDescent="0.2">
      <c r="B10" s="7" t="s">
        <v>119</v>
      </c>
      <c r="C10" s="56">
        <v>7.9689913000000001E-2</v>
      </c>
      <c r="D10" s="56">
        <v>7.9689913000000001E-2</v>
      </c>
      <c r="E10" s="56">
        <v>7.5556622000000004E-2</v>
      </c>
      <c r="F10" s="56">
        <v>1.4978274999999999E-2</v>
      </c>
      <c r="G10" s="56">
        <v>2.1933985E-2</v>
      </c>
    </row>
    <row r="11" spans="1:15" ht="15.75" customHeight="1" x14ac:dyDescent="0.2">
      <c r="B11" s="7" t="s">
        <v>120</v>
      </c>
      <c r="C11" s="56">
        <v>3.8286427999999997E-2</v>
      </c>
      <c r="D11" s="56">
        <v>3.8286427999999997E-2</v>
      </c>
      <c r="E11" s="56">
        <v>9.8582280000000001E-3</v>
      </c>
      <c r="F11" s="56">
        <v>6.2730991999999999E-3</v>
      </c>
      <c r="G11" s="56">
        <v>9.0823780999999999E-3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0.42014592350000002</v>
      </c>
      <c r="D14" s="57">
        <v>0.39589734507000002</v>
      </c>
      <c r="E14" s="57">
        <v>0.39589734507000002</v>
      </c>
      <c r="F14" s="57">
        <v>0.21073848385800001</v>
      </c>
      <c r="G14" s="57">
        <v>0.21073848385800001</v>
      </c>
      <c r="H14" s="58">
        <v>0.33100000000000002</v>
      </c>
      <c r="I14" s="58">
        <v>0.33068921775898519</v>
      </c>
      <c r="J14" s="58">
        <v>0.41951797040169142</v>
      </c>
      <c r="K14" s="58">
        <v>0.4617336152219873</v>
      </c>
      <c r="L14" s="58">
        <v>0.34563868036399997</v>
      </c>
      <c r="M14" s="58">
        <v>0.25940033439350002</v>
      </c>
      <c r="N14" s="58">
        <v>0.2203984213155</v>
      </c>
      <c r="O14" s="58">
        <v>0.25487351987500001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0.21679588069353362</v>
      </c>
      <c r="D15" s="55">
        <f t="shared" si="0"/>
        <v>0.204283580508624</v>
      </c>
      <c r="E15" s="55">
        <f t="shared" si="0"/>
        <v>0.204283580508624</v>
      </c>
      <c r="F15" s="55">
        <f t="shared" si="0"/>
        <v>0.10874135067983143</v>
      </c>
      <c r="G15" s="55">
        <f t="shared" si="0"/>
        <v>0.10874135067983143</v>
      </c>
      <c r="H15" s="55">
        <f t="shared" si="0"/>
        <v>0.17079646021975417</v>
      </c>
      <c r="I15" s="55">
        <f t="shared" si="0"/>
        <v>0.17063609615128139</v>
      </c>
      <c r="J15" s="55">
        <f t="shared" si="0"/>
        <v>0.21647185602170543</v>
      </c>
      <c r="K15" s="55">
        <f t="shared" si="0"/>
        <v>0.23825518744527321</v>
      </c>
      <c r="L15" s="55">
        <f t="shared" si="0"/>
        <v>0.17835003964108231</v>
      </c>
      <c r="M15" s="55">
        <f t="shared" si="0"/>
        <v>0.13385093321519745</v>
      </c>
      <c r="N15" s="55">
        <f t="shared" si="0"/>
        <v>0.11372589183900125</v>
      </c>
      <c r="O15" s="55">
        <f t="shared" si="0"/>
        <v>0.13151509062960473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wLukLKKAu7ThWvkDnDpZVssk2Ie8COcIPg2NsQ37yMRi7URhS7788PivSzC3kEG25CZUO56YOmbkig2KWhLzvg==" saltValue="0E3BS+KwydXV4YaVe9PR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0.72355079649999998</v>
      </c>
      <c r="D2" s="56">
        <v>0.52269173000000002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0.20326217999999999</v>
      </c>
      <c r="D3" s="56">
        <v>0.24295504000000001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5.5695132999999987E-2</v>
      </c>
      <c r="D4" s="56">
        <v>0.20628204</v>
      </c>
      <c r="E4" s="56">
        <v>0.90755903720855702</v>
      </c>
      <c r="F4" s="56">
        <v>0.43570882081985501</v>
      </c>
      <c r="G4" s="56">
        <v>0</v>
      </c>
    </row>
    <row r="5" spans="1:7" x14ac:dyDescent="0.2">
      <c r="B5" s="98" t="s">
        <v>132</v>
      </c>
      <c r="C5" s="55">
        <v>1.74918905000001E-2</v>
      </c>
      <c r="D5" s="55">
        <v>2.8071189999999999E-2</v>
      </c>
      <c r="E5" s="55">
        <v>9.244096279144301E-2</v>
      </c>
      <c r="F5" s="55">
        <v>0.56429117918014493</v>
      </c>
      <c r="G5" s="55">
        <v>1</v>
      </c>
    </row>
  </sheetData>
  <sheetProtection algorithmName="SHA-512" hashValue="K/2LIsLYeG3mJJ005HZJbzCoihdHl9P/W/RRoYJUJVgpWO6uwL/z19O40FLae/Nl/WVNbkTxzFXDvb59UUCuTQ==" saltValue="n39bz63wXOTw0/DjEkICP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9pYG3iFFVrlElahlBaqjxnkQzdNjIh4Y8WVKhbOdChZe+OQFFkZvC5BLjaKawZIvHOsqMJhijbueZ6jcRPPLhw==" saltValue="x237swgnqnBofwQK01aZb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/LVlnOotr9CzcIN41a+OcJW8gi+YuX6ffdJqp7VA9rO9Blxw5RiXUucOgdxYtDSKTIiePsP6BgEo8clBIKgDJw==" saltValue="Uqr3t4gMAFimetCS2b6Wu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lMGcG9NDJxP49mubAWOpEQ/45cevbP7X8hAZMByzK9mRHhiEchwNehbFuXNi1TL1CPrDPnqzjud6n8Eujk3Rwg==" saltValue="CzvQXHE+OOlebTyYhsA6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VH+xg3zh399/c3qLHqBXmsCc3AQRdn1GzmB2Ew+n5xcLRjArGJiIQKSsGhxWifJYRpC7li1gPhW+H5O1Tyn6jg==" saltValue="0PxyHFf6aVNPZZ8LI/2TK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2022-02-02T08:38:27Z</dcterms:modified>
</cp:coreProperties>
</file>