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26B28177-4F44-4B27-8B12-6DC495ECEDE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A34" i="2"/>
  <c r="A19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I8" i="2"/>
  <c r="A17" i="2"/>
  <c r="A35" i="2"/>
  <c r="A18" i="2"/>
  <c r="A25" i="2"/>
  <c r="I2" i="2"/>
  <c r="I6" i="2"/>
  <c r="I10" i="2"/>
  <c r="A26" i="2"/>
  <c r="A39" i="2"/>
  <c r="A27" i="2"/>
  <c r="I39" i="2"/>
  <c r="I3" i="2"/>
  <c r="I7" i="2"/>
  <c r="I11" i="2"/>
  <c r="A33" i="2"/>
  <c r="A12" i="2"/>
  <c r="A20" i="2"/>
  <c r="A28" i="2"/>
  <c r="A36" i="2"/>
  <c r="A29" i="2"/>
  <c r="A13" i="2"/>
  <c r="A30" i="2"/>
  <c r="D58" i="20"/>
  <c r="A38" i="2"/>
  <c r="A31" i="2"/>
  <c r="A21" i="2"/>
  <c r="A37" i="2"/>
  <c r="A14" i="2"/>
  <c r="A22" i="2"/>
  <c r="A4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<sst xmlns="http://schemas.openxmlformats.org/spreadsheetml/2006/main" count="2092" uniqueCount="337">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</sst>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6586378</v>
      </c>
    </row>
    <row r="8" spans="1:3" ht="15" customHeight="1" x14ac:dyDescent="0.2">
      <c r="B8" s="7" t="s">
        <v>19</v>
      </c>
      <c r="C8" s="46">
        <v>0.13900000000000001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0.8498191070556641</v>
      </c>
    </row>
    <row r="11" spans="1:3" ht="15" customHeight="1" x14ac:dyDescent="0.2">
      <c r="B11" s="7" t="s">
        <v>22</v>
      </c>
      <c r="C11" s="46">
        <v>0.88900000000000001</v>
      </c>
    </row>
    <row r="12" spans="1:3" ht="15" customHeight="1" x14ac:dyDescent="0.2">
      <c r="B12" s="7" t="s">
        <v>23</v>
      </c>
      <c r="C12" s="46">
        <v>0.373</v>
      </c>
    </row>
    <row r="13" spans="1:3" ht="15" customHeight="1" x14ac:dyDescent="0.2">
      <c r="B13" s="7" t="s">
        <v>24</v>
      </c>
      <c r="C13" s="46">
        <v>0.40300000000000002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7.0099999999999996E-2</v>
      </c>
    </row>
    <row r="24" spans="1:3" ht="15" customHeight="1" x14ac:dyDescent="0.2">
      <c r="B24" s="12" t="s">
        <v>33</v>
      </c>
      <c r="C24" s="47">
        <v>0.54359999999999997</v>
      </c>
    </row>
    <row r="25" spans="1:3" ht="15" customHeight="1" x14ac:dyDescent="0.2">
      <c r="B25" s="12" t="s">
        <v>34</v>
      </c>
      <c r="C25" s="47">
        <v>0.36299999999999999</v>
      </c>
    </row>
    <row r="26" spans="1:3" ht="15" customHeight="1" x14ac:dyDescent="0.2">
      <c r="B26" s="12" t="s">
        <v>35</v>
      </c>
      <c r="C26" s="47">
        <v>2.3300000000000001E-2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0.34200000000000003</v>
      </c>
    </row>
    <row r="30" spans="1:3" ht="14.25" customHeight="1" x14ac:dyDescent="0.2">
      <c r="B30" s="22" t="s">
        <v>38</v>
      </c>
      <c r="C30" s="49">
        <v>8.5999999999999993E-2</v>
      </c>
    </row>
    <row r="31" spans="1:3" ht="14.25" customHeight="1" x14ac:dyDescent="0.2">
      <c r="B31" s="22" t="s">
        <v>39</v>
      </c>
      <c r="C31" s="49">
        <v>0.109</v>
      </c>
    </row>
    <row r="32" spans="1:3" ht="14.25" customHeight="1" x14ac:dyDescent="0.2">
      <c r="B32" s="22" t="s">
        <v>40</v>
      </c>
      <c r="C32" s="49">
        <v>0.46300000000000002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5.2784806391885404</v>
      </c>
    </row>
    <row r="38" spans="1:5" ht="15" customHeight="1" x14ac:dyDescent="0.2">
      <c r="B38" s="28" t="s">
        <v>45</v>
      </c>
      <c r="C38" s="117">
        <v>8.6153282712556596</v>
      </c>
      <c r="D38" s="9"/>
      <c r="E38" s="10"/>
    </row>
    <row r="39" spans="1:5" ht="15" customHeight="1" x14ac:dyDescent="0.2">
      <c r="B39" s="28" t="s">
        <v>46</v>
      </c>
      <c r="C39" s="117">
        <v>10.046388231764</v>
      </c>
      <c r="D39" s="9"/>
      <c r="E39" s="9"/>
    </row>
    <row r="40" spans="1:5" ht="15" customHeight="1" x14ac:dyDescent="0.2">
      <c r="B40" s="28" t="s">
        <v>47</v>
      </c>
      <c r="C40" s="117">
        <v>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4.4318235809999997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2.66874E-2</v>
      </c>
      <c r="D45" s="9"/>
    </row>
    <row r="46" spans="1:5" ht="15.75" customHeight="1" x14ac:dyDescent="0.2">
      <c r="B46" s="28" t="s">
        <v>52</v>
      </c>
      <c r="C46" s="47">
        <v>9.2983700000000002E-2</v>
      </c>
      <c r="D46" s="9"/>
    </row>
    <row r="47" spans="1:5" ht="15.75" customHeight="1" x14ac:dyDescent="0.2">
      <c r="B47" s="28" t="s">
        <v>53</v>
      </c>
      <c r="C47" s="47">
        <v>0.18996379999999999</v>
      </c>
      <c r="D47" s="9"/>
      <c r="E47" s="10"/>
    </row>
    <row r="48" spans="1:5" ht="15" customHeight="1" x14ac:dyDescent="0.2">
      <c r="B48" s="28" t="s">
        <v>54</v>
      </c>
      <c r="C48" s="48">
        <v>0.69036510000000006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0.52738981115255845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11.396656</v>
      </c>
    </row>
    <row r="63" spans="1:4" ht="15.75" customHeight="1" x14ac:dyDescent="0.2">
      <c r="A63" s="39"/>
    </row>
  </sheetData>
  <sheetProtection algorithmName="SHA-512" hashValue="2fSrpbM21n1dFjpoDktVD2+UXxEz1TNAvqn8VXbUIEjbbtlojMtEXLepQBDvQjdEpReflm9yIxTHxnYBEzFGbA==" saltValue="epvZc0zKNB5YndWLWMpc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0.215708059500061</v>
      </c>
      <c r="C2" s="115">
        <v>0.95</v>
      </c>
      <c r="D2" s="116">
        <v>100.8838400123179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40.840660619620337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1086.2600399420769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2.9040093126562878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13.972960063416251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13.972960063416251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13.972960063416251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13.972960063416251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13.972960063416251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13.972960063416251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1.6797258633116019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24.839970481111401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24.839970481111401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0.97582390000000008</v>
      </c>
      <c r="C21" s="115">
        <v>0.95</v>
      </c>
      <c r="D21" s="116">
        <v>27.799382182381819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24.616622973147329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4.8798255494888956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0.7302286384303901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19.534604961991612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211.45682792792479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0.56632019569628533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3.7054411364622579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0.98875718152611103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3.7084194520624441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0.97297233962778806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oE/BpgEF54EIBfcezSftEcbGipjdIl8ZuJOdzzHQmS1Yoyg5q7vz6dqOkvBfoT5zCazmbprA8GMuY7jMSk86xQ==" saltValue="r4/ctbHjp/ZpUcyPZTHP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zqzV7JCY+boqDUWKW1NAx2DFRTG6T9uWG3b+2s/xGruwEvXUQ6RBG0QBcRYfU+PCzm6XY2//KvqnIvmgirkehQ==" saltValue="fCZ9gfXDvAEez0TVpbpBW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kQnM32R9d9XjyqsjGj0escxix67KP58Y6HR+amhaFiwfBI1f9ki/8enQl9yrI8e7IorsKjzLpm58GY0PYXD6wA==" saltValue="fE8rAtZjx3tudMKfdKLA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0.173548232</v>
      </c>
      <c r="C3" s="18">
        <f>frac_mam_1_5months * 2.6</f>
        <v>0.173548232</v>
      </c>
      <c r="D3" s="18">
        <f>frac_mam_6_11months * 2.6</f>
        <v>6.4794191800000012E-2</v>
      </c>
      <c r="E3" s="18">
        <f>frac_mam_12_23months * 2.6</f>
        <v>2.4542515400000003E-2</v>
      </c>
      <c r="F3" s="18">
        <f>frac_mam_24_59months * 2.6</f>
        <v>1.7898596039999999E-2</v>
      </c>
    </row>
    <row r="4" spans="1:6" ht="15.75" customHeight="1" x14ac:dyDescent="0.2">
      <c r="A4" s="4" t="s">
        <v>208</v>
      </c>
      <c r="B4" s="18">
        <f>frac_sam_1month * 2.6</f>
        <v>5.6318347800000002E-2</v>
      </c>
      <c r="C4" s="18">
        <f>frac_sam_1_5months * 2.6</f>
        <v>5.6318347800000002E-2</v>
      </c>
      <c r="D4" s="18">
        <f>frac_sam_6_11months * 2.6</f>
        <v>0</v>
      </c>
      <c r="E4" s="18">
        <f>frac_sam_12_23months * 2.6</f>
        <v>2.418436098E-2</v>
      </c>
      <c r="F4" s="18">
        <f>frac_sam_24_59months * 2.6</f>
        <v>4.0075848799999998E-3</v>
      </c>
    </row>
  </sheetData>
  <sheetProtection algorithmName="SHA-512" hashValue="zcz9UWxLyNNEWfVidlCSQuJZEgZE3kJ6iSeN1DTwjBIki4ohTQOlLonT/3G0WJGkxHsxleCECZGI04X7YBGWfQ==" saltValue="1TX6Ihe1DzmuCEXaythf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0.13900000000000001</v>
      </c>
      <c r="E2" s="65">
        <f>food_insecure</f>
        <v>0.13900000000000001</v>
      </c>
      <c r="F2" s="65">
        <f>food_insecure</f>
        <v>0.13900000000000001</v>
      </c>
      <c r="G2" s="65">
        <f>food_insecure</f>
        <v>0.13900000000000001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0.13900000000000001</v>
      </c>
      <c r="F5" s="65">
        <f>food_insecure</f>
        <v>0.13900000000000001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4.6986390149060281E-2</v>
      </c>
      <c r="D7" s="65">
        <f>diarrhoea_1_5mo*frac_diarrhea_severe</f>
        <v>4.6986390149060281E-2</v>
      </c>
      <c r="E7" s="65">
        <f>diarrhoea_6_11mo*frac_diarrhea_severe</f>
        <v>4.6986390149060281E-2</v>
      </c>
      <c r="F7" s="65">
        <f>diarrhoea_12_23mo*frac_diarrhea_severe</f>
        <v>4.6986390149060281E-2</v>
      </c>
      <c r="G7" s="65">
        <f>diarrhoea_24_59mo*frac_diarrhea_severe</f>
        <v>4.6986390149060281E-2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0.13900000000000001</v>
      </c>
      <c r="F8" s="65">
        <f>food_insecure</f>
        <v>0.13900000000000001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0.13900000000000001</v>
      </c>
      <c r="F9" s="65">
        <f>food_insecure</f>
        <v>0.13900000000000001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0.373</v>
      </c>
      <c r="E10" s="65">
        <f>IF(ISBLANK(comm_deliv), frac_children_health_facility,1)</f>
        <v>0.373</v>
      </c>
      <c r="F10" s="65">
        <f>IF(ISBLANK(comm_deliv), frac_children_health_facility,1)</f>
        <v>0.373</v>
      </c>
      <c r="G10" s="65">
        <f>IF(ISBLANK(comm_deliv), frac_children_health_facility,1)</f>
        <v>0.373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4.6986390149060281E-2</v>
      </c>
      <c r="D12" s="65">
        <f>diarrhoea_1_5mo*frac_diarrhea_severe</f>
        <v>4.6986390149060281E-2</v>
      </c>
      <c r="E12" s="65">
        <f>diarrhoea_6_11mo*frac_diarrhea_severe</f>
        <v>4.6986390149060281E-2</v>
      </c>
      <c r="F12" s="65">
        <f>diarrhoea_12_23mo*frac_diarrhea_severe</f>
        <v>4.6986390149060281E-2</v>
      </c>
      <c r="G12" s="65">
        <f>diarrhoea_24_59mo*frac_diarrhea_severe</f>
        <v>4.6986390149060281E-2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0.13900000000000001</v>
      </c>
      <c r="I15" s="65">
        <f>food_insecure</f>
        <v>0.13900000000000001</v>
      </c>
      <c r="J15" s="65">
        <f>food_insecure</f>
        <v>0.13900000000000001</v>
      </c>
      <c r="K15" s="65">
        <f>food_insecure</f>
        <v>0.13900000000000001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0.40300000000000002</v>
      </c>
      <c r="M24" s="65">
        <f>famplan_unmet_need</f>
        <v>0.40300000000000002</v>
      </c>
      <c r="N24" s="65">
        <f>famplan_unmet_need</f>
        <v>0.40300000000000002</v>
      </c>
      <c r="O24" s="65">
        <f>famplan_unmet_need</f>
        <v>0.40300000000000002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7.7972417807769756E-2</v>
      </c>
      <c r="M25" s="65">
        <f>(1-food_insecure)*(0.49)+food_insecure*(0.7)</f>
        <v>0.51919000000000004</v>
      </c>
      <c r="N25" s="65">
        <f>(1-food_insecure)*(0.49)+food_insecure*(0.7)</f>
        <v>0.51919000000000004</v>
      </c>
      <c r="O25" s="65">
        <f>(1-food_insecure)*(0.49)+food_insecure*(0.7)</f>
        <v>0.51919000000000004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3.3416750489044182E-2</v>
      </c>
      <c r="M26" s="65">
        <f>(1-food_insecure)*(0.21)+food_insecure*(0.3)</f>
        <v>0.22250999999999999</v>
      </c>
      <c r="N26" s="65">
        <f>(1-food_insecure)*(0.21)+food_insecure*(0.3)</f>
        <v>0.22250999999999999</v>
      </c>
      <c r="O26" s="65">
        <f>(1-food_insecure)*(0.21)+food_insecure*(0.3)</f>
        <v>0.22250999999999999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3.8791724647521959E-2</v>
      </c>
      <c r="M27" s="65">
        <f>(1-food_insecure)*(0.3)</f>
        <v>0.25829999999999997</v>
      </c>
      <c r="N27" s="65">
        <f>(1-food_insecure)*(0.3)</f>
        <v>0.25829999999999997</v>
      </c>
      <c r="O27" s="65">
        <f>(1-food_insecure)*(0.3)</f>
        <v>0.25829999999999997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0.8498191070556641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997QZLjz7DLYT7PAvwKgk/Ak2UEWmExhx2dAM4s163XgNdTG1GZQ/7S/+xmPHCRKYER0JtgzQhNnrYggFjxyKw==" saltValue="t/y9mD3YPFpgWtVaZ1UE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zAJIHHeB4UBTDin005FNkg4IBssDcpFQcrelU6E6YQUEdXvQZS1Zlr8FKYeKXmZvLeHzEEfZIxhZha+7AlEow==" saltValue="QDHEnDSvURq9czPS3k03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d7YISPy1KxXm571OgYV1XemgGeZ45NsbWdMx86gCLnhsaZK1ePankroDV6PwnR+ISkVBDiu13SprREG5lfBv0Q==" saltValue="XtR8dF47XuadXwz93QLj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HfeaE0xUvPSOHU/W0iV9seczt8jJv2AgYkstBe2Z4xGGRGjWz0xx04CebHpB0ohwF/Gq+fXf4Mfuxh7rYAClg==" saltValue="VbVeE9H6J0Q6KclDnTv9S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IC+lFXcOLZiT/tfmVp566lNj3Vux5VNqjqzAUjHsdiCNhEQtjRoqlE5JrmKrSRegHgZxtHkDqb9Pb9vQdPBmPw==" saltValue="5eJz727nTiiqeQQRO9jpS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8+j1ENUUHTqi06Yoi3EvMMVoQ65A5gOpiEQuDY5emyKBEJVTcXNStfmeP2CA0P+BbBCp5F/8XtnBbY4vtlpyHQ==" saltValue="KYJSVcD+yfN11XsHNp1e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1263888.0190000001</v>
      </c>
      <c r="C2" s="53">
        <v>3314000</v>
      </c>
      <c r="D2" s="53">
        <v>6508000</v>
      </c>
      <c r="E2" s="53">
        <v>496000</v>
      </c>
      <c r="F2" s="53">
        <v>366000</v>
      </c>
      <c r="G2" s="14">
        <f t="shared" ref="G2:G11" si="0">C2+D2+E2+F2</f>
        <v>10684000</v>
      </c>
      <c r="H2" s="14">
        <f t="shared" ref="H2:H11" si="1">(B2 + stillbirth*B2/(1000-stillbirth))/(1-abortion)</f>
        <v>1330727.7592587625</v>
      </c>
      <c r="I2" s="14">
        <f t="shared" ref="I2:I11" si="2">G2-H2</f>
        <v>9353272.240741238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1253282.0828</v>
      </c>
      <c r="C3" s="53">
        <v>3290000</v>
      </c>
      <c r="D3" s="53">
        <v>6523000</v>
      </c>
      <c r="E3" s="53">
        <v>509000</v>
      </c>
      <c r="F3" s="53">
        <v>375000</v>
      </c>
      <c r="G3" s="14">
        <f t="shared" si="0"/>
        <v>10697000</v>
      </c>
      <c r="H3" s="14">
        <f t="shared" si="1"/>
        <v>1319560.9363265897</v>
      </c>
      <c r="I3" s="14">
        <f t="shared" si="2"/>
        <v>9377439.0636734106</v>
      </c>
    </row>
    <row r="4" spans="1:9" ht="15.75" customHeight="1" x14ac:dyDescent="0.2">
      <c r="A4" s="7">
        <f t="shared" si="3"/>
        <v>2023</v>
      </c>
      <c r="B4" s="52">
        <v>1240732.2312</v>
      </c>
      <c r="C4" s="53">
        <v>3261000</v>
      </c>
      <c r="D4" s="53">
        <v>6526000</v>
      </c>
      <c r="E4" s="53">
        <v>520000</v>
      </c>
      <c r="F4" s="53">
        <v>384000</v>
      </c>
      <c r="G4" s="14">
        <f t="shared" si="0"/>
        <v>10691000</v>
      </c>
      <c r="H4" s="14">
        <f t="shared" si="1"/>
        <v>1306347.39553212</v>
      </c>
      <c r="I4" s="14">
        <f t="shared" si="2"/>
        <v>9384652.60446788</v>
      </c>
    </row>
    <row r="5" spans="1:9" ht="15.75" customHeight="1" x14ac:dyDescent="0.2">
      <c r="A5" s="7">
        <f t="shared" si="3"/>
        <v>2024</v>
      </c>
      <c r="B5" s="52">
        <v>1227488.4288000001</v>
      </c>
      <c r="C5" s="53">
        <v>3235000</v>
      </c>
      <c r="D5" s="53">
        <v>6516000</v>
      </c>
      <c r="E5" s="53">
        <v>528000</v>
      </c>
      <c r="F5" s="53">
        <v>394000</v>
      </c>
      <c r="G5" s="14">
        <f t="shared" si="0"/>
        <v>10673000</v>
      </c>
      <c r="H5" s="14">
        <f t="shared" si="1"/>
        <v>1292403.204886368</v>
      </c>
      <c r="I5" s="14">
        <f t="shared" si="2"/>
        <v>9380596.7951136325</v>
      </c>
    </row>
    <row r="6" spans="1:9" ht="15.75" customHeight="1" x14ac:dyDescent="0.2">
      <c r="A6" s="7">
        <f t="shared" si="3"/>
        <v>2025</v>
      </c>
      <c r="B6" s="52">
        <v>1214448.625</v>
      </c>
      <c r="C6" s="53">
        <v>3214000</v>
      </c>
      <c r="D6" s="53">
        <v>6497000</v>
      </c>
      <c r="E6" s="53">
        <v>530000</v>
      </c>
      <c r="F6" s="53">
        <v>405000</v>
      </c>
      <c r="G6" s="14">
        <f t="shared" si="0"/>
        <v>10646000</v>
      </c>
      <c r="H6" s="14">
        <f t="shared" si="1"/>
        <v>1278673.8011487827</v>
      </c>
      <c r="I6" s="14">
        <f t="shared" si="2"/>
        <v>9367326.1988512166</v>
      </c>
    </row>
    <row r="7" spans="1:9" ht="15.75" customHeight="1" x14ac:dyDescent="0.2">
      <c r="A7" s="7">
        <f t="shared" si="3"/>
        <v>2026</v>
      </c>
      <c r="B7" s="52">
        <v>1205093.5728</v>
      </c>
      <c r="C7" s="53">
        <v>3202000</v>
      </c>
      <c r="D7" s="53">
        <v>6473000</v>
      </c>
      <c r="E7" s="53">
        <v>527000</v>
      </c>
      <c r="F7" s="53">
        <v>417000</v>
      </c>
      <c r="G7" s="14">
        <f t="shared" si="0"/>
        <v>10619000</v>
      </c>
      <c r="H7" s="14">
        <f t="shared" si="1"/>
        <v>1268824.0142493825</v>
      </c>
      <c r="I7" s="14">
        <f t="shared" si="2"/>
        <v>9350175.9857506175</v>
      </c>
    </row>
    <row r="8" spans="1:9" ht="15.75" customHeight="1" x14ac:dyDescent="0.2">
      <c r="A8" s="7">
        <f t="shared" si="3"/>
        <v>2027</v>
      </c>
      <c r="B8" s="52">
        <v>1195992.3959999999</v>
      </c>
      <c r="C8" s="53">
        <v>3195000</v>
      </c>
      <c r="D8" s="53">
        <v>6441000</v>
      </c>
      <c r="E8" s="53">
        <v>521000</v>
      </c>
      <c r="F8" s="53">
        <v>429000</v>
      </c>
      <c r="G8" s="14">
        <f t="shared" si="0"/>
        <v>10586000</v>
      </c>
      <c r="H8" s="14">
        <f t="shared" si="1"/>
        <v>1259241.5287541372</v>
      </c>
      <c r="I8" s="14">
        <f t="shared" si="2"/>
        <v>9326758.4712458625</v>
      </c>
    </row>
    <row r="9" spans="1:9" ht="15.75" customHeight="1" x14ac:dyDescent="0.2">
      <c r="A9" s="7">
        <f t="shared" si="3"/>
        <v>2028</v>
      </c>
      <c r="B9" s="52">
        <v>1187089.1103999999</v>
      </c>
      <c r="C9" s="53">
        <v>3189000</v>
      </c>
      <c r="D9" s="53">
        <v>6404000</v>
      </c>
      <c r="E9" s="53">
        <v>511000</v>
      </c>
      <c r="F9" s="53">
        <v>443000</v>
      </c>
      <c r="G9" s="14">
        <f t="shared" si="0"/>
        <v>10547000</v>
      </c>
      <c r="H9" s="14">
        <f t="shared" si="1"/>
        <v>1249867.3997819335</v>
      </c>
      <c r="I9" s="14">
        <f t="shared" si="2"/>
        <v>9297132.6002180669</v>
      </c>
    </row>
    <row r="10" spans="1:9" ht="15.75" customHeight="1" x14ac:dyDescent="0.2">
      <c r="A10" s="7">
        <f t="shared" si="3"/>
        <v>2029</v>
      </c>
      <c r="B10" s="52">
        <v>1178209.2420000001</v>
      </c>
      <c r="C10" s="53">
        <v>3179000</v>
      </c>
      <c r="D10" s="53">
        <v>6368000</v>
      </c>
      <c r="E10" s="53">
        <v>501000</v>
      </c>
      <c r="F10" s="53">
        <v>456000</v>
      </c>
      <c r="G10" s="14">
        <f t="shared" si="0"/>
        <v>10504000</v>
      </c>
      <c r="H10" s="14">
        <f t="shared" si="1"/>
        <v>1240517.926410239</v>
      </c>
      <c r="I10" s="14">
        <f t="shared" si="2"/>
        <v>9263482.0735897608</v>
      </c>
    </row>
    <row r="11" spans="1:9" ht="15.75" customHeight="1" x14ac:dyDescent="0.2">
      <c r="A11" s="7">
        <f t="shared" si="3"/>
        <v>2030</v>
      </c>
      <c r="B11" s="52">
        <v>1169226.4080000001</v>
      </c>
      <c r="C11" s="53">
        <v>3163000</v>
      </c>
      <c r="D11" s="53">
        <v>6335000</v>
      </c>
      <c r="E11" s="53">
        <v>491000</v>
      </c>
      <c r="F11" s="53">
        <v>469000</v>
      </c>
      <c r="G11" s="14">
        <f t="shared" si="0"/>
        <v>10458000</v>
      </c>
      <c r="H11" s="14">
        <f t="shared" si="1"/>
        <v>1231060.0421824327</v>
      </c>
      <c r="I11" s="14">
        <f t="shared" si="2"/>
        <v>9226939.9578175675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SkBjzrE3tTQfpsjP376lctBoUvPbuJew0PHxh8d2v4lx7TXcQAJ95audGCN2cb4tkfX5lGUyc3UiiKtqEqLAqg==" saltValue="eNK6mqwjY5wQXbyxQYW7Q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aCGEqsA8hH4FGwKe/IiNaj13Jqz+Oj3xraYnI9SNE0+DxCgP1MDelJYxW93AIW2NxS65YoOPBDoYDI9i5Gn6fg==" saltValue="A/NwOiFOtvO04CQ5qHJcB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TwZoa1vUzgloiLiEvfvicdzZ4KpF9VTHvhbDzKh53zjRy0lyw7uqyxVAnhk0lbY4c01VWGc8aHyrUs5mF/sE2g==" saltValue="/9lr8BRMlY+6MfXyujvz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l7xZO7g8CE9DNmpW1DCy+YWgAwHAXHqhk33kYnckp8vvJXz2U/fSuow8EAqeB0bScHBnRYiHjU6kJhOzEkusfA==" saltValue="xzY8DhYMfBy3DgB2kkq7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QTAQalzrCw6HBnqAEnpBPFshraG2hxWic7gMslEFE6qEajDx50H7fStqtlIBUdu0/C9aMS++tR29GjVOOlrlQ==" saltValue="IqCHQ4G/rKeJnftVz0qu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6taqf906n5mpB8LDw1E5iJqHPUd/yTaq0cGPzrjAqLg6cFL3dSmy378k7/2d6G2wc82uqVEgzu9SBXEpS1Ve6g==" saltValue="p27vN6bb3W5SyQNqt5P+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4K9qPIj40SbtGXM9gBb04cEAJzQXHTMLYlmS50Pdtt93Gl7hTeg5pB+rDtM9zpdiDjo1V6rvXddVD5eLMXq0mg==" saltValue="W0wHFiNgAQl/zYX8YECk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/6mSXdA4UYGfOl69Z4GPPGLOnQYO4W9Pc+S2uBjopT5sH4ONFuY1B/c2GhlCDp+gdyTUSg6VqeJVaH+1hibytA==" saltValue="MuZ0TqVziYmkaCO98FBj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qqr5AMksqFq308jVFE17yoYBHOMIeux2lJZSmd10lSMlyKMhZ7Y5cyjI+tSQ+EjOJ00Cj0PfeIVzQVYLMUBdg==" saltValue="y0jisVN6YfS5cSKipS+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S1UhGooXOfDKhYE+dUtm8T3P9pBaMsngpvJkk5EDQUD8PDzbHhP9tYfe1vh3UjmBjlDhEbruojvlwz8cv/Yutg==" saltValue="taJpq0qHOADYokjR9U1lk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6.5780787918312059E-2</v>
      </c>
    </row>
    <row r="5" spans="1:8" ht="15.75" customHeight="1" x14ac:dyDescent="0.2">
      <c r="B5" s="16" t="s">
        <v>80</v>
      </c>
      <c r="C5" s="54">
        <v>1.324948228162641E-2</v>
      </c>
    </row>
    <row r="6" spans="1:8" ht="15.75" customHeight="1" x14ac:dyDescent="0.2">
      <c r="B6" s="16" t="s">
        <v>81</v>
      </c>
      <c r="C6" s="54">
        <v>7.7491190228652154E-2</v>
      </c>
    </row>
    <row r="7" spans="1:8" ht="15.75" customHeight="1" x14ac:dyDescent="0.2">
      <c r="B7" s="16" t="s">
        <v>82</v>
      </c>
      <c r="C7" s="54">
        <v>0.40754536158370702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0.30498340206693358</v>
      </c>
    </row>
    <row r="10" spans="1:8" ht="15.75" customHeight="1" x14ac:dyDescent="0.2">
      <c r="B10" s="16" t="s">
        <v>85</v>
      </c>
      <c r="C10" s="54">
        <v>0.13094977592076881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1.8973157017512472E-2</v>
      </c>
      <c r="D14" s="54">
        <v>1.8973157017512472E-2</v>
      </c>
      <c r="E14" s="54">
        <v>1.8973157017512472E-2</v>
      </c>
      <c r="F14" s="54">
        <v>1.8973157017512472E-2</v>
      </c>
    </row>
    <row r="15" spans="1:8" ht="15.75" customHeight="1" x14ac:dyDescent="0.2">
      <c r="B15" s="16" t="s">
        <v>88</v>
      </c>
      <c r="C15" s="54">
        <v>7.1740472660633589E-2</v>
      </c>
      <c r="D15" s="54">
        <v>7.1740472660633589E-2</v>
      </c>
      <c r="E15" s="54">
        <v>7.1740472660633589E-2</v>
      </c>
      <c r="F15" s="54">
        <v>7.1740472660633589E-2</v>
      </c>
    </row>
    <row r="16" spans="1:8" ht="15.75" customHeight="1" x14ac:dyDescent="0.2">
      <c r="B16" s="16" t="s">
        <v>89</v>
      </c>
      <c r="C16" s="54">
        <v>9.228266138645299E-3</v>
      </c>
      <c r="D16" s="54">
        <v>9.228266138645299E-3</v>
      </c>
      <c r="E16" s="54">
        <v>9.228266138645299E-3</v>
      </c>
      <c r="F16" s="54">
        <v>9.228266138645299E-3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9.5464713926239064E-2</v>
      </c>
      <c r="D21" s="54">
        <v>9.5464713926239064E-2</v>
      </c>
      <c r="E21" s="54">
        <v>9.5464713926239064E-2</v>
      </c>
      <c r="F21" s="54">
        <v>9.5464713926239064E-2</v>
      </c>
    </row>
    <row r="22" spans="1:8" ht="15.75" customHeight="1" x14ac:dyDescent="0.2">
      <c r="B22" s="16" t="s">
        <v>95</v>
      </c>
      <c r="C22" s="54">
        <v>0.80459339025696952</v>
      </c>
      <c r="D22" s="54">
        <v>0.80459339025696952</v>
      </c>
      <c r="E22" s="54">
        <v>0.80459339025696952</v>
      </c>
      <c r="F22" s="54">
        <v>0.80459339025696952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3.9699999999999999E-2</v>
      </c>
    </row>
    <row r="27" spans="1:8" ht="15.75" customHeight="1" x14ac:dyDescent="0.2">
      <c r="B27" s="16" t="s">
        <v>102</v>
      </c>
      <c r="C27" s="54">
        <v>2.3E-2</v>
      </c>
    </row>
    <row r="28" spans="1:8" ht="15.75" customHeight="1" x14ac:dyDescent="0.2">
      <c r="B28" s="16" t="s">
        <v>103</v>
      </c>
      <c r="C28" s="54">
        <v>0.18790000000000001</v>
      </c>
    </row>
    <row r="29" spans="1:8" ht="15.75" customHeight="1" x14ac:dyDescent="0.2">
      <c r="B29" s="16" t="s">
        <v>104</v>
      </c>
      <c r="C29" s="54">
        <v>0.14360000000000001</v>
      </c>
    </row>
    <row r="30" spans="1:8" ht="15.75" customHeight="1" x14ac:dyDescent="0.2">
      <c r="B30" s="16" t="s">
        <v>2</v>
      </c>
      <c r="C30" s="54">
        <v>5.21E-2</v>
      </c>
    </row>
    <row r="31" spans="1:8" ht="15.75" customHeight="1" x14ac:dyDescent="0.2">
      <c r="B31" s="16" t="s">
        <v>105</v>
      </c>
      <c r="C31" s="54">
        <v>2.41E-2</v>
      </c>
    </row>
    <row r="32" spans="1:8" ht="15.75" customHeight="1" x14ac:dyDescent="0.2">
      <c r="B32" s="16" t="s">
        <v>106</v>
      </c>
      <c r="C32" s="54">
        <v>8.5299999999999987E-2</v>
      </c>
    </row>
    <row r="33" spans="2:3" ht="15.75" customHeight="1" x14ac:dyDescent="0.2">
      <c r="B33" s="16" t="s">
        <v>107</v>
      </c>
      <c r="C33" s="54">
        <v>0.2238</v>
      </c>
    </row>
    <row r="34" spans="2:3" ht="15.75" customHeight="1" x14ac:dyDescent="0.2">
      <c r="B34" s="16" t="s">
        <v>108</v>
      </c>
      <c r="C34" s="54">
        <v>0.22050000000223521</v>
      </c>
    </row>
    <row r="35" spans="2:3" ht="15.75" customHeight="1" x14ac:dyDescent="0.2">
      <c r="B35" s="24" t="s">
        <v>41</v>
      </c>
      <c r="C35" s="50">
        <f>SUM(C26:C34)</f>
        <v>1.0000000000022353</v>
      </c>
    </row>
  </sheetData>
  <sheetProtection algorithmName="SHA-512" hashValue="Cc5P19AkcgYkT4vPwGAuZkNcH2H52EwR8o3UjCfGOVfvt4LXyCRwfDFNW3hUz8N421s2cWul+RcM6Qo54NFc9g==" saltValue="PQsCC1xs8dMd5zgi5tX5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0.77208832000000005</v>
      </c>
      <c r="D2" s="55">
        <v>0.77208832000000005</v>
      </c>
      <c r="E2" s="55">
        <v>0.82412955999999993</v>
      </c>
      <c r="F2" s="55">
        <v>0.69729416</v>
      </c>
      <c r="G2" s="55">
        <v>0.67859009000000003</v>
      </c>
    </row>
    <row r="3" spans="1:15" ht="15.75" customHeight="1" x14ac:dyDescent="0.2">
      <c r="B3" s="7" t="s">
        <v>113</v>
      </c>
      <c r="C3" s="55">
        <v>9.7223034E-2</v>
      </c>
      <c r="D3" s="55">
        <v>9.7223034E-2</v>
      </c>
      <c r="E3" s="55">
        <v>0.12367088</v>
      </c>
      <c r="F3" s="55">
        <v>0.20455084000000001</v>
      </c>
      <c r="G3" s="55">
        <v>0.21540682</v>
      </c>
    </row>
    <row r="4" spans="1:15" ht="15.75" customHeight="1" x14ac:dyDescent="0.2">
      <c r="B4" s="7" t="s">
        <v>114</v>
      </c>
      <c r="C4" s="56">
        <v>6.1346827E-2</v>
      </c>
      <c r="D4" s="56">
        <v>6.1346827E-2</v>
      </c>
      <c r="E4" s="56">
        <v>4.1452804000000003E-2</v>
      </c>
      <c r="F4" s="56">
        <v>6.262425399999999E-2</v>
      </c>
      <c r="G4" s="56">
        <v>6.9781623000000001E-2</v>
      </c>
    </row>
    <row r="5" spans="1:15" ht="15.75" customHeight="1" x14ac:dyDescent="0.2">
      <c r="B5" s="7" t="s">
        <v>115</v>
      </c>
      <c r="C5" s="56">
        <v>6.9341841000000001E-2</v>
      </c>
      <c r="D5" s="56">
        <v>6.9341841000000001E-2</v>
      </c>
      <c r="E5" s="56">
        <v>1.0746739E-2</v>
      </c>
      <c r="F5" s="56">
        <v>3.5530758000000003E-2</v>
      </c>
      <c r="G5" s="56">
        <v>3.6221432999999997E-2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0.81256493000000007</v>
      </c>
      <c r="D8" s="55">
        <v>0.81256493000000007</v>
      </c>
      <c r="E8" s="55">
        <v>0.92137694999999997</v>
      </c>
      <c r="F8" s="55">
        <v>0.93880142000000011</v>
      </c>
      <c r="G8" s="55">
        <v>0.94882248000000002</v>
      </c>
    </row>
    <row r="9" spans="1:15" ht="15.75" customHeight="1" x14ac:dyDescent="0.2">
      <c r="B9" s="7" t="s">
        <v>118</v>
      </c>
      <c r="C9" s="55">
        <v>9.9024848999999998E-2</v>
      </c>
      <c r="D9" s="55">
        <v>9.9024848999999998E-2</v>
      </c>
      <c r="E9" s="55">
        <v>5.3702183000000001E-2</v>
      </c>
      <c r="F9" s="55">
        <v>4.2457504000000007E-2</v>
      </c>
      <c r="G9" s="55">
        <v>4.2752023E-2</v>
      </c>
    </row>
    <row r="10" spans="1:15" ht="15.75" customHeight="1" x14ac:dyDescent="0.2">
      <c r="B10" s="7" t="s">
        <v>119</v>
      </c>
      <c r="C10" s="56">
        <v>6.6749320000000001E-2</v>
      </c>
      <c r="D10" s="56">
        <v>6.6749320000000001E-2</v>
      </c>
      <c r="E10" s="56">
        <v>2.4920843000000002E-2</v>
      </c>
      <c r="F10" s="56">
        <v>9.4394290000000009E-3</v>
      </c>
      <c r="G10" s="56">
        <v>6.8840754000000001E-3</v>
      </c>
    </row>
    <row r="11" spans="1:15" ht="15.75" customHeight="1" x14ac:dyDescent="0.2">
      <c r="B11" s="7" t="s">
        <v>120</v>
      </c>
      <c r="C11" s="56">
        <v>2.1660902999999999E-2</v>
      </c>
      <c r="D11" s="56">
        <v>2.1660902999999999E-2</v>
      </c>
      <c r="E11" s="56">
        <v>0</v>
      </c>
      <c r="F11" s="56">
        <v>9.3016773000000001E-3</v>
      </c>
      <c r="G11" s="56">
        <v>1.5413788E-3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0.22474285975</v>
      </c>
      <c r="D14" s="57">
        <v>0.234737514727</v>
      </c>
      <c r="E14" s="57">
        <v>0.234737514727</v>
      </c>
      <c r="F14" s="57">
        <v>0.223199456702</v>
      </c>
      <c r="G14" s="57">
        <v>0.223199456702</v>
      </c>
      <c r="H14" s="58">
        <v>0.34399999999999997</v>
      </c>
      <c r="I14" s="58">
        <v>0.34399999999999997</v>
      </c>
      <c r="J14" s="58">
        <v>0.34399999999999997</v>
      </c>
      <c r="K14" s="58">
        <v>0.34399999999999997</v>
      </c>
      <c r="L14" s="58">
        <v>0.136617116244</v>
      </c>
      <c r="M14" s="58">
        <v>0.121506515112</v>
      </c>
      <c r="N14" s="58">
        <v>0.1062746488175</v>
      </c>
      <c r="O14" s="58">
        <v>0.15351555321900001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0.11852709436143843</v>
      </c>
      <c r="D15" s="55">
        <f t="shared" si="0"/>
        <v>0.12379817356229343</v>
      </c>
      <c r="E15" s="55">
        <f t="shared" si="0"/>
        <v>0.12379817356229343</v>
      </c>
      <c r="F15" s="55">
        <f t="shared" si="0"/>
        <v>0.11771311931942142</v>
      </c>
      <c r="G15" s="55">
        <f t="shared" si="0"/>
        <v>0.11771311931942142</v>
      </c>
      <c r="H15" s="55">
        <f t="shared" si="0"/>
        <v>0.1814220950364801</v>
      </c>
      <c r="I15" s="55">
        <f t="shared" si="0"/>
        <v>0.1814220950364801</v>
      </c>
      <c r="J15" s="55">
        <f t="shared" si="0"/>
        <v>0.1814220950364801</v>
      </c>
      <c r="K15" s="55">
        <f t="shared" si="0"/>
        <v>0.1814220950364801</v>
      </c>
      <c r="L15" s="55">
        <f t="shared" si="0"/>
        <v>7.205047513613029E-2</v>
      </c>
      <c r="M15" s="55">
        <f t="shared" si="0"/>
        <v>6.4081298058723174E-2</v>
      </c>
      <c r="N15" s="55">
        <f t="shared" si="0"/>
        <v>5.6048166970165791E-2</v>
      </c>
      <c r="O15" s="55">
        <f t="shared" si="0"/>
        <v>8.0962538621148952E-2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Uhh5ypk25H/raJ6El10WQFGt70HahwFtit0GIHlHMUf6tQzCWG0zwhb6hFV2zCrjIt9F2ciq2Cbf0RiUFHxBmg==" saltValue="AOVqosxav7YFSzOAGVUu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0.59449800000000008</v>
      </c>
      <c r="D2" s="56">
        <v>0.29309990000000002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9.7630759999999997E-2</v>
      </c>
      <c r="D3" s="56">
        <v>0.23736940000000001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0.25931979999999999</v>
      </c>
      <c r="D4" s="56">
        <v>0.4031151</v>
      </c>
      <c r="E4" s="56">
        <v>0.74230986833572399</v>
      </c>
      <c r="F4" s="56">
        <v>0.37930190563201899</v>
      </c>
      <c r="G4" s="56">
        <v>0</v>
      </c>
    </row>
    <row r="5" spans="1:7" x14ac:dyDescent="0.2">
      <c r="B5" s="98" t="s">
        <v>132</v>
      </c>
      <c r="C5" s="55">
        <v>4.8551440000000001E-2</v>
      </c>
      <c r="D5" s="55">
        <v>6.6415600000000005E-2</v>
      </c>
      <c r="E5" s="55">
        <v>0.25769013166427601</v>
      </c>
      <c r="F5" s="55">
        <v>0.62069809436798107</v>
      </c>
      <c r="G5" s="55">
        <v>1</v>
      </c>
    </row>
  </sheetData>
  <sheetProtection algorithmName="SHA-512" hashValue="FPnRwzekA6EJ2e2iUUxDFiyux5JsfGW9eyDs3HhmUOVP+bmi56fZr+oeGDRgKyfSwdHZpbmUJ6rup5BejW/aYw==" saltValue="R+JfXsBBeonPAHSo79+SO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b+m0yeyc18I66YCq+Mz0JGVTt8UjkBOtmSOG7Nu9jfI2vp38zeVkH3gPnQkD0hLmIwgi4WxbP4AyIT5KaYFLzA==" saltValue="wELjBzrXpZfqE8McJqa5G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ylYBJJxyJDAyaNp+UadC0xa2frczKeoHD4GlWitW715xbi70U5kt2ZFuYkQq3FeFERGl0RGNxY0KUL5ZT/z8IQ==" saltValue="hAgQueGLEY14KV1mzYK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HEOkZYgywbrnzkWblRAXUamJWRydMsnj+cI10Rrk8ySP0BVhsB9ciIsif/ud4H4s2vsFDheDdj4+7WIrdaM4w==" saltValue="gV96b/O4wLERFg6NnBGM2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XLoTpjLyO0dy3dcy4/I22zykd9lyJJs3tCohd+xKTM8Qr3kWBTlEIRFTDtToGJNVqvutkGHqFqdJ1PFUyODl5w==" saltValue="Xwn0lwt0ZJCywdEDuaIX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2022-02-02T08:45:54Z</dcterms:modified>
</cp:coreProperties>
</file>