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4A42033F-0148-4AF9-8B3E-24A20CE691AB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16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I2" i="2" s="1"/>
  <c r="A2" i="2"/>
  <c r="A31" i="2" s="1"/>
  <c r="C33" i="1"/>
  <c r="C20" i="1"/>
  <c r="A32" i="2" l="1"/>
  <c r="A17" i="2"/>
  <c r="A33" i="2"/>
  <c r="A18" i="2"/>
  <c r="A34" i="2"/>
  <c r="A19" i="2"/>
  <c r="A35" i="2"/>
  <c r="I6" i="2"/>
  <c r="I10" i="2"/>
  <c r="A24" i="2"/>
  <c r="A3" i="2"/>
  <c r="A25" i="2"/>
  <c r="I3" i="2"/>
  <c r="I7" i="2"/>
  <c r="I11" i="2"/>
  <c r="A26" i="2"/>
  <c r="A39" i="2"/>
  <c r="A27" i="2"/>
  <c r="I39" i="2"/>
  <c r="A29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37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<sst xmlns="http://schemas.openxmlformats.org/spreadsheetml/2006/main" count="2092" uniqueCount="337">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</sst>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2383119.640625</v>
      </c>
    </row>
    <row r="8" spans="1:3" ht="15" customHeight="1" x14ac:dyDescent="0.2">
      <c r="B8" s="7" t="s">
        <v>19</v>
      </c>
      <c r="C8" s="46">
        <v>9.8000000000000004E-2</v>
      </c>
    </row>
    <row r="9" spans="1:3" ht="15" customHeight="1" x14ac:dyDescent="0.2">
      <c r="B9" s="7" t="s">
        <v>20</v>
      </c>
      <c r="C9" s="47">
        <v>0.46200000000000002</v>
      </c>
    </row>
    <row r="10" spans="1:3" ht="15" customHeight="1" x14ac:dyDescent="0.2">
      <c r="B10" s="7" t="s">
        <v>21</v>
      </c>
      <c r="C10" s="47">
        <v>0.81408699039999999</v>
      </c>
    </row>
    <row r="11" spans="1:3" ht="15" customHeight="1" x14ac:dyDescent="0.2">
      <c r="B11" s="7" t="s">
        <v>22</v>
      </c>
      <c r="C11" s="46">
        <v>0.73699999999999999</v>
      </c>
    </row>
    <row r="12" spans="1:3" ht="15" customHeight="1" x14ac:dyDescent="0.2">
      <c r="B12" s="7" t="s">
        <v>23</v>
      </c>
      <c r="C12" s="46">
        <v>0.81099999999999994</v>
      </c>
    </row>
    <row r="13" spans="1:3" ht="15" customHeight="1" x14ac:dyDescent="0.2">
      <c r="B13" s="7" t="s">
        <v>24</v>
      </c>
      <c r="C13" s="46">
        <v>0.30299999999999999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8.1799999999999998E-2</v>
      </c>
    </row>
    <row r="24" spans="1:3" ht="15" customHeight="1" x14ac:dyDescent="0.2">
      <c r="B24" s="12" t="s">
        <v>33</v>
      </c>
      <c r="C24" s="47">
        <v>0.59670000000000001</v>
      </c>
    </row>
    <row r="25" spans="1:3" ht="15" customHeight="1" x14ac:dyDescent="0.2">
      <c r="B25" s="12" t="s">
        <v>34</v>
      </c>
      <c r="C25" s="47">
        <v>0.30309999999999998</v>
      </c>
    </row>
    <row r="26" spans="1:3" ht="15" customHeight="1" x14ac:dyDescent="0.2">
      <c r="B26" s="12" t="s">
        <v>35</v>
      </c>
      <c r="C26" s="47">
        <v>1.84E-2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0.40400000000000003</v>
      </c>
    </row>
    <row r="30" spans="1:3" ht="14.25" customHeight="1" x14ac:dyDescent="0.2">
      <c r="B30" s="22" t="s">
        <v>38</v>
      </c>
      <c r="C30" s="49">
        <v>3.5000000000000003E-2</v>
      </c>
    </row>
    <row r="31" spans="1:3" ht="14.25" customHeight="1" x14ac:dyDescent="0.2">
      <c r="B31" s="22" t="s">
        <v>39</v>
      </c>
      <c r="C31" s="49">
        <v>8.199999999999999E-2</v>
      </c>
    </row>
    <row r="32" spans="1:3" ht="14.25" customHeight="1" x14ac:dyDescent="0.2">
      <c r="B32" s="22" t="s">
        <v>40</v>
      </c>
      <c r="C32" s="49">
        <v>0.47899999999999998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14.591883124677</v>
      </c>
    </row>
    <row r="38" spans="1:5" ht="15" customHeight="1" x14ac:dyDescent="0.2">
      <c r="B38" s="28" t="s">
        <v>45</v>
      </c>
      <c r="C38" s="117">
        <v>21.038436378730701</v>
      </c>
      <c r="D38" s="9"/>
      <c r="E38" s="10"/>
    </row>
    <row r="39" spans="1:5" ht="15" customHeight="1" x14ac:dyDescent="0.2">
      <c r="B39" s="28" t="s">
        <v>46</v>
      </c>
      <c r="C39" s="117">
        <v>24.199999999517399</v>
      </c>
      <c r="D39" s="9"/>
      <c r="E39" s="9"/>
    </row>
    <row r="40" spans="1:5" ht="15" customHeight="1" x14ac:dyDescent="0.2">
      <c r="B40" s="28" t="s">
        <v>47</v>
      </c>
      <c r="C40" s="117">
        <v>125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9.3542334619999998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1.8793399999999998E-2</v>
      </c>
      <c r="D45" s="9"/>
    </row>
    <row r="46" spans="1:5" ht="15.75" customHeight="1" x14ac:dyDescent="0.2">
      <c r="B46" s="28" t="s">
        <v>52</v>
      </c>
      <c r="C46" s="47">
        <v>7.1404949999999995E-2</v>
      </c>
      <c r="D46" s="9"/>
    </row>
    <row r="47" spans="1:5" ht="15.75" customHeight="1" x14ac:dyDescent="0.2">
      <c r="B47" s="28" t="s">
        <v>53</v>
      </c>
      <c r="C47" s="47">
        <v>0.1104407</v>
      </c>
      <c r="D47" s="9"/>
      <c r="E47" s="10"/>
    </row>
    <row r="48" spans="1:5" ht="15" customHeight="1" x14ac:dyDescent="0.2">
      <c r="B48" s="28" t="s">
        <v>54</v>
      </c>
      <c r="C48" s="48">
        <v>0.79936094999999996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2.1459227467811159E-2</v>
      </c>
    </row>
    <row r="59" spans="1:4" ht="15.75" customHeight="1" x14ac:dyDescent="0.2">
      <c r="B59" s="28" t="s">
        <v>63</v>
      </c>
      <c r="C59" s="46">
        <v>0.65538335379998203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8.2114124000000004</v>
      </c>
    </row>
    <row r="63" spans="1:4" ht="15.75" customHeight="1" x14ac:dyDescent="0.2">
      <c r="A63" s="39"/>
    </row>
  </sheetData>
  <sheetProtection algorithmName="SHA-512" hashValue="AC16FxBfDIBA6FD2XMQ839Elg0O5hzgqO3PDIV3AcyJ/fS8vRp3+389K/URmp3n9YsvVpsAuPxOUuYWvtnA1yQ==" saltValue="5F3YaBlnziE9NHO9FkVb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</v>
      </c>
      <c r="C2" s="115">
        <v>0.95</v>
      </c>
      <c r="D2" s="116">
        <v>45.442281641165188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42.690090320031779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217.064805431211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1.2067961995200209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13.70780222005237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13.70780222005237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13.70780222005237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13.70780222005237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13.70780222005237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13.70780222005237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0.44701907318651901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0.13023111111111099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</v>
      </c>
      <c r="C18" s="115">
        <v>0.95</v>
      </c>
      <c r="D18" s="116">
        <v>5.0635162116449219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</v>
      </c>
      <c r="C19" s="115">
        <v>0.95</v>
      </c>
      <c r="D19" s="116">
        <v>5.0635162116449219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0.95</v>
      </c>
      <c r="C21" s="115">
        <v>0.95</v>
      </c>
      <c r="D21" s="116">
        <v>13.06808901635755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23.483058881679661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4.5660983713272767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0.71090409500000007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19.70745253122227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0.76900000000000002</v>
      </c>
      <c r="C29" s="115">
        <v>0.95</v>
      </c>
      <c r="D29" s="116">
        <v>84.919796715648516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1.831453715203385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0.92608930441939119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0.87451211537467199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2.9135134663262119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0.93935019016922794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/Gf7i8K8Wdak2qHi4lAAsc1iF64P5vnbtc010lOZKD/ieUgtqso3JaxOdhBL0KQvAOaZf8HtWAK9bnmA2EGPUQ==" saltValue="j1lvyGiFHR36z8LSooLk8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ADxGi+4Q775nipTSu0CK2iOjwJCfsGc34j7aZtUDo24rtWbKCBLQ2FiVcyq0eIt0F6RO8Pi1BPxUf0GQjAYEkw==" saltValue="gx6OsH2GaNTbLJnpvaudS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NxK1pI8NO18WroLUqIwtO7RZp9rBl42U7qOPgB8Viu9tQwiMqjYPcHPCYHzmHA4Ofhmb0LPRb3gZlhZewtvOEw==" saltValue="I4DbLxJ+s2r0kQ5A9QMgG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7.4863641746676382E-2</v>
      </c>
      <c r="C3" s="18">
        <f>frac_mam_1_5months * 2.6</f>
        <v>7.4863641746676382E-2</v>
      </c>
      <c r="D3" s="18">
        <f>frac_mam_6_11months * 2.6</f>
        <v>6.9755741869406848E-2</v>
      </c>
      <c r="E3" s="18">
        <f>frac_mam_12_23months * 2.6</f>
        <v>4.5638841189607905E-2</v>
      </c>
      <c r="F3" s="18">
        <f>frac_mam_24_59months * 2.6</f>
        <v>3.388538172207084E-2</v>
      </c>
    </row>
    <row r="4" spans="1:6" ht="15.75" customHeight="1" x14ac:dyDescent="0.2">
      <c r="A4" s="4" t="s">
        <v>208</v>
      </c>
      <c r="B4" s="18">
        <f>frac_sam_1month * 2.6</f>
        <v>4.4444193491540697E-2</v>
      </c>
      <c r="C4" s="18">
        <f>frac_sam_1_5months * 2.6</f>
        <v>4.4444193491540697E-2</v>
      </c>
      <c r="D4" s="18">
        <f>frac_sam_6_11months * 2.6</f>
        <v>2.6641044035594041E-2</v>
      </c>
      <c r="E4" s="18">
        <f>frac_sam_12_23months * 2.6</f>
        <v>1.8187397235948099E-2</v>
      </c>
      <c r="F4" s="18">
        <f>frac_sam_24_59months * 2.6</f>
        <v>1.1642928732624853E-2</v>
      </c>
    </row>
  </sheetData>
  <sheetProtection algorithmName="SHA-512" hashValue="DrhpFuAuZqTWGFO7cNsh/f8ru6kcAKydJQQoD38cPZANw3JLFQWYgbXOM54AT0d9HxvPQIHmJ2ylkycDXQhY9g==" saltValue="+Fikc8WSx7P39ZZzRT7T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9.8000000000000004E-2</v>
      </c>
      <c r="E2" s="65">
        <f>food_insecure</f>
        <v>9.8000000000000004E-2</v>
      </c>
      <c r="F2" s="65">
        <f>food_insecure</f>
        <v>9.8000000000000004E-2</v>
      </c>
      <c r="G2" s="65">
        <f>food_insecure</f>
        <v>9.8000000000000004E-2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9.8000000000000004E-2</v>
      </c>
      <c r="F5" s="65">
        <f>food_insecure</f>
        <v>9.8000000000000004E-2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6.8669527896995708E-2</v>
      </c>
      <c r="D7" s="65">
        <f>diarrhoea_1_5mo*frac_diarrhea_severe</f>
        <v>6.8669527896995708E-2</v>
      </c>
      <c r="E7" s="65">
        <f>diarrhoea_6_11mo*frac_diarrhea_severe</f>
        <v>6.8669527896995708E-2</v>
      </c>
      <c r="F7" s="65">
        <f>diarrhoea_12_23mo*frac_diarrhea_severe</f>
        <v>6.8669527896995708E-2</v>
      </c>
      <c r="G7" s="65">
        <f>diarrhoea_24_59mo*frac_diarrhea_severe</f>
        <v>6.8669527896995708E-2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9.8000000000000004E-2</v>
      </c>
      <c r="F8" s="65">
        <f>food_insecure</f>
        <v>9.8000000000000004E-2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9.8000000000000004E-2</v>
      </c>
      <c r="F9" s="65">
        <f>food_insecure</f>
        <v>9.8000000000000004E-2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0.81099999999999994</v>
      </c>
      <c r="E10" s="65">
        <f>IF(ISBLANK(comm_deliv), frac_children_health_facility,1)</f>
        <v>0.81099999999999994</v>
      </c>
      <c r="F10" s="65">
        <f>IF(ISBLANK(comm_deliv), frac_children_health_facility,1)</f>
        <v>0.81099999999999994</v>
      </c>
      <c r="G10" s="65">
        <f>IF(ISBLANK(comm_deliv), frac_children_health_facility,1)</f>
        <v>0.81099999999999994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6.8669527896995708E-2</v>
      </c>
      <c r="D12" s="65">
        <f>diarrhoea_1_5mo*frac_diarrhea_severe</f>
        <v>6.8669527896995708E-2</v>
      </c>
      <c r="E12" s="65">
        <f>diarrhoea_6_11mo*frac_diarrhea_severe</f>
        <v>6.8669527896995708E-2</v>
      </c>
      <c r="F12" s="65">
        <f>diarrhoea_12_23mo*frac_diarrhea_severe</f>
        <v>6.8669527896995708E-2</v>
      </c>
      <c r="G12" s="65">
        <f>diarrhoea_24_59mo*frac_diarrhea_severe</f>
        <v>6.8669527896995708E-2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9.8000000000000004E-2</v>
      </c>
      <c r="I15" s="65">
        <f>food_insecure</f>
        <v>9.8000000000000004E-2</v>
      </c>
      <c r="J15" s="65">
        <f>food_insecure</f>
        <v>9.8000000000000004E-2</v>
      </c>
      <c r="K15" s="65">
        <f>food_insecure</f>
        <v>9.8000000000000004E-2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0.73699999999999999</v>
      </c>
      <c r="I18" s="65">
        <f>frac_PW_health_facility</f>
        <v>0.73699999999999999</v>
      </c>
      <c r="J18" s="65">
        <f>frac_PW_health_facility</f>
        <v>0.73699999999999999</v>
      </c>
      <c r="K18" s="65">
        <f>frac_PW_health_facility</f>
        <v>0.73699999999999999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0.46200000000000002</v>
      </c>
      <c r="I19" s="65">
        <f>frac_malaria_risk</f>
        <v>0.46200000000000002</v>
      </c>
      <c r="J19" s="65">
        <f>frac_malaria_risk</f>
        <v>0.46200000000000002</v>
      </c>
      <c r="K19" s="65">
        <f>frac_malaria_risk</f>
        <v>0.46200000000000002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0.30299999999999999</v>
      </c>
      <c r="M24" s="65">
        <f>famplan_unmet_need</f>
        <v>0.30299999999999999</v>
      </c>
      <c r="N24" s="65">
        <f>famplan_unmet_need</f>
        <v>0.30299999999999999</v>
      </c>
      <c r="O24" s="65">
        <f>famplan_unmet_need</f>
        <v>0.30299999999999999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9.4923464441568003E-2</v>
      </c>
      <c r="M25" s="65">
        <f>(1-food_insecure)*(0.49)+food_insecure*(0.7)</f>
        <v>0.51058000000000003</v>
      </c>
      <c r="N25" s="65">
        <f>(1-food_insecure)*(0.49)+food_insecure*(0.7)</f>
        <v>0.51058000000000003</v>
      </c>
      <c r="O25" s="65">
        <f>(1-food_insecure)*(0.49)+food_insecure*(0.7)</f>
        <v>0.51058000000000003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4.0681484760672001E-2</v>
      </c>
      <c r="M26" s="65">
        <f>(1-food_insecure)*(0.21)+food_insecure*(0.3)</f>
        <v>0.21882000000000001</v>
      </c>
      <c r="N26" s="65">
        <f>(1-food_insecure)*(0.21)+food_insecure*(0.3)</f>
        <v>0.21882000000000001</v>
      </c>
      <c r="O26" s="65">
        <f>(1-food_insecure)*(0.21)+food_insecure*(0.3)</f>
        <v>0.21882000000000001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5.0308060397760007E-2</v>
      </c>
      <c r="M27" s="65">
        <f>(1-food_insecure)*(0.3)</f>
        <v>0.27060000000000001</v>
      </c>
      <c r="N27" s="65">
        <f>(1-food_insecure)*(0.3)</f>
        <v>0.27060000000000001</v>
      </c>
      <c r="O27" s="65">
        <f>(1-food_insecure)*(0.3)</f>
        <v>0.27060000000000001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0.46200000000000002</v>
      </c>
      <c r="D34" s="65">
        <f t="shared" si="3"/>
        <v>0.46200000000000002</v>
      </c>
      <c r="E34" s="65">
        <f t="shared" si="3"/>
        <v>0.46200000000000002</v>
      </c>
      <c r="F34" s="65">
        <f t="shared" si="3"/>
        <v>0.46200000000000002</v>
      </c>
      <c r="G34" s="65">
        <f t="shared" si="3"/>
        <v>0.46200000000000002</v>
      </c>
      <c r="H34" s="65">
        <f t="shared" si="3"/>
        <v>0.46200000000000002</v>
      </c>
      <c r="I34" s="65">
        <f t="shared" si="3"/>
        <v>0.46200000000000002</v>
      </c>
      <c r="J34" s="65">
        <f t="shared" si="3"/>
        <v>0.46200000000000002</v>
      </c>
      <c r="K34" s="65">
        <f t="shared" si="3"/>
        <v>0.46200000000000002</v>
      </c>
      <c r="L34" s="65">
        <f t="shared" si="3"/>
        <v>0.46200000000000002</v>
      </c>
      <c r="M34" s="65">
        <f t="shared" si="3"/>
        <v>0.46200000000000002</v>
      </c>
      <c r="N34" s="65">
        <f t="shared" si="3"/>
        <v>0.46200000000000002</v>
      </c>
      <c r="O34" s="65">
        <f t="shared" si="3"/>
        <v>0.46200000000000002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DLhXpztXHvbSzPfRjpepGVn/HAucoYkGp81KG6PycoUqJVGb93bMYokxcCiM3WfAnh9nqI+PMZGMCPDpHGSsFg==" saltValue="e0R314G2TnpCoO45YI7h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MiotkwB8MCAqiDGH/dWwNgACeQD9gpgXzCIPHjyc1+IeOZ9kRXcaT2A9lRXRxPV6iiF2qn/hvgbn+ES5raw18Q==" saltValue="W4DZK0otTPaKF42liV/9z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EKxGuKIJ6mrsUTCsQdFegn95lvpUSNStUTyD80orJNJg7DJPEveai5Q4ncEXm/TxS+wVpd6Ts21BqqSmLl6DJg==" saltValue="8mcDhZZqz5diUpiXfUel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j8zgRg0jMcrcGd5dwx/N72z241PAjN+ass7HWxjAxzOdynjrxXCcNdLWc0Z3kB8wx9r9s2UbGEmW98nCMU3xgg==" saltValue="TwJex5MWHLwZs/glLC9NO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K1xCVL72oNRKqXdJs+mruKeEPOt1BWWIZBoRd0SBX9PmukA/p2cjxnNZmeL+dcsFl4Izc3xCqjRdMTD/+p4u8g==" saltValue="Fzq/fWhZtUdrx6wucfOm2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H4LLVmUzO3YN/fblWGCIYZDvZxTJgcPx4edxUYDNVYVgZgRZ7+6LU5LkxeN+/KrDcaGDJSem3f3G7OrJHCXfDQ==" saltValue="VyuimcY3QlJiG3YZa+Vzz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1534414.3632</v>
      </c>
      <c r="C2" s="53">
        <v>3226000</v>
      </c>
      <c r="D2" s="53">
        <v>7412000</v>
      </c>
      <c r="E2" s="53">
        <v>333000</v>
      </c>
      <c r="F2" s="53">
        <v>224000</v>
      </c>
      <c r="G2" s="14">
        <f t="shared" ref="G2:G11" si="0">C2+D2+E2+F2</f>
        <v>11195000</v>
      </c>
      <c r="H2" s="14">
        <f t="shared" ref="H2:H11" si="1">(B2 + stillbirth*B2/(1000-stillbirth))/(1-abortion)</f>
        <v>1623588.2232867782</v>
      </c>
      <c r="I2" s="14">
        <f t="shared" ref="I2:I11" si="2">G2-H2</f>
        <v>9571411.7767132223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1519116.5120000001</v>
      </c>
      <c r="C3" s="53">
        <v>3266000</v>
      </c>
      <c r="D3" s="53">
        <v>7147000</v>
      </c>
      <c r="E3" s="53">
        <v>350000</v>
      </c>
      <c r="F3" s="53">
        <v>232000</v>
      </c>
      <c r="G3" s="14">
        <f t="shared" si="0"/>
        <v>10995000</v>
      </c>
      <c r="H3" s="14">
        <f t="shared" si="1"/>
        <v>1607401.3238119094</v>
      </c>
      <c r="I3" s="14">
        <f t="shared" si="2"/>
        <v>9387598.6761880908</v>
      </c>
    </row>
    <row r="4" spans="1:9" ht="15.75" customHeight="1" x14ac:dyDescent="0.2">
      <c r="A4" s="7">
        <f t="shared" si="3"/>
        <v>2023</v>
      </c>
      <c r="B4" s="52">
        <v>1502957.3455999999</v>
      </c>
      <c r="C4" s="53">
        <v>3317000</v>
      </c>
      <c r="D4" s="53">
        <v>6891000</v>
      </c>
      <c r="E4" s="53">
        <v>366000</v>
      </c>
      <c r="F4" s="53">
        <v>240000</v>
      </c>
      <c r="G4" s="14">
        <f t="shared" si="0"/>
        <v>10814000</v>
      </c>
      <c r="H4" s="14">
        <f t="shared" si="1"/>
        <v>1590303.0530355219</v>
      </c>
      <c r="I4" s="14">
        <f t="shared" si="2"/>
        <v>9223696.9469644781</v>
      </c>
    </row>
    <row r="5" spans="1:9" ht="15.75" customHeight="1" x14ac:dyDescent="0.2">
      <c r="A5" s="7">
        <f t="shared" si="3"/>
        <v>2024</v>
      </c>
      <c r="B5" s="52">
        <v>1485839.6136</v>
      </c>
      <c r="C5" s="53">
        <v>3371000</v>
      </c>
      <c r="D5" s="53">
        <v>6677000</v>
      </c>
      <c r="E5" s="53">
        <v>382000</v>
      </c>
      <c r="F5" s="53">
        <v>249000</v>
      </c>
      <c r="G5" s="14">
        <f t="shared" si="0"/>
        <v>10679000</v>
      </c>
      <c r="H5" s="14">
        <f t="shared" si="1"/>
        <v>1572190.5087638306</v>
      </c>
      <c r="I5" s="14">
        <f t="shared" si="2"/>
        <v>9106809.4912361689</v>
      </c>
    </row>
    <row r="6" spans="1:9" ht="15.75" customHeight="1" x14ac:dyDescent="0.2">
      <c r="A6" s="7">
        <f t="shared" si="3"/>
        <v>2025</v>
      </c>
      <c r="B6" s="52">
        <v>1467675.4480000001</v>
      </c>
      <c r="C6" s="53">
        <v>3425000</v>
      </c>
      <c r="D6" s="53">
        <v>6525000</v>
      </c>
      <c r="E6" s="53">
        <v>398000</v>
      </c>
      <c r="F6" s="53">
        <v>258000</v>
      </c>
      <c r="G6" s="14">
        <f t="shared" si="0"/>
        <v>10606000</v>
      </c>
      <c r="H6" s="14">
        <f t="shared" si="1"/>
        <v>1552970.7164695982</v>
      </c>
      <c r="I6" s="14">
        <f t="shared" si="2"/>
        <v>9053029.2835304011</v>
      </c>
    </row>
    <row r="7" spans="1:9" ht="15.75" customHeight="1" x14ac:dyDescent="0.2">
      <c r="A7" s="7">
        <f t="shared" si="3"/>
        <v>2026</v>
      </c>
      <c r="B7" s="52">
        <v>1444569.8101999999</v>
      </c>
      <c r="C7" s="53">
        <v>3476000</v>
      </c>
      <c r="D7" s="53">
        <v>6435000</v>
      </c>
      <c r="E7" s="53">
        <v>413000</v>
      </c>
      <c r="F7" s="53">
        <v>268000</v>
      </c>
      <c r="G7" s="14">
        <f t="shared" si="0"/>
        <v>10592000</v>
      </c>
      <c r="H7" s="14">
        <f t="shared" si="1"/>
        <v>1528522.2739085061</v>
      </c>
      <c r="I7" s="14">
        <f t="shared" si="2"/>
        <v>9063477.7260914929</v>
      </c>
    </row>
    <row r="8" spans="1:9" ht="15.75" customHeight="1" x14ac:dyDescent="0.2">
      <c r="A8" s="7">
        <f t="shared" si="3"/>
        <v>2027</v>
      </c>
      <c r="B8" s="52">
        <v>1420431.5072000001</v>
      </c>
      <c r="C8" s="53">
        <v>3524000</v>
      </c>
      <c r="D8" s="53">
        <v>6412000</v>
      </c>
      <c r="E8" s="53">
        <v>427000</v>
      </c>
      <c r="F8" s="53">
        <v>277000</v>
      </c>
      <c r="G8" s="14">
        <f t="shared" si="0"/>
        <v>10640000</v>
      </c>
      <c r="H8" s="14">
        <f t="shared" si="1"/>
        <v>1502981.1518877267</v>
      </c>
      <c r="I8" s="14">
        <f t="shared" si="2"/>
        <v>9137018.848112274</v>
      </c>
    </row>
    <row r="9" spans="1:9" ht="15.75" customHeight="1" x14ac:dyDescent="0.2">
      <c r="A9" s="7">
        <f t="shared" si="3"/>
        <v>2028</v>
      </c>
      <c r="B9" s="52">
        <v>1395284.9372</v>
      </c>
      <c r="C9" s="53">
        <v>3566000</v>
      </c>
      <c r="D9" s="53">
        <v>6441000</v>
      </c>
      <c r="E9" s="53">
        <v>440000</v>
      </c>
      <c r="F9" s="53">
        <v>287000</v>
      </c>
      <c r="G9" s="14">
        <f t="shared" si="0"/>
        <v>10734000</v>
      </c>
      <c r="H9" s="14">
        <f t="shared" si="1"/>
        <v>1476373.1665304268</v>
      </c>
      <c r="I9" s="14">
        <f t="shared" si="2"/>
        <v>9257626.8334695734</v>
      </c>
    </row>
    <row r="10" spans="1:9" ht="15.75" customHeight="1" x14ac:dyDescent="0.2">
      <c r="A10" s="7">
        <f t="shared" si="3"/>
        <v>2029</v>
      </c>
      <c r="B10" s="52">
        <v>1369207.6592000001</v>
      </c>
      <c r="C10" s="53">
        <v>3600000</v>
      </c>
      <c r="D10" s="53">
        <v>6496000</v>
      </c>
      <c r="E10" s="53">
        <v>451000</v>
      </c>
      <c r="F10" s="53">
        <v>299000</v>
      </c>
      <c r="G10" s="14">
        <f t="shared" si="0"/>
        <v>10846000</v>
      </c>
      <c r="H10" s="14">
        <f t="shared" si="1"/>
        <v>1448780.3842471077</v>
      </c>
      <c r="I10" s="14">
        <f t="shared" si="2"/>
        <v>9397219.6157528926</v>
      </c>
    </row>
    <row r="11" spans="1:9" ht="15.75" customHeight="1" x14ac:dyDescent="0.2">
      <c r="A11" s="7">
        <f t="shared" si="3"/>
        <v>2030</v>
      </c>
      <c r="B11" s="52">
        <v>1342260.6359999999</v>
      </c>
      <c r="C11" s="53">
        <v>3623000</v>
      </c>
      <c r="D11" s="53">
        <v>6557000</v>
      </c>
      <c r="E11" s="53">
        <v>461000</v>
      </c>
      <c r="F11" s="53">
        <v>312000</v>
      </c>
      <c r="G11" s="14">
        <f t="shared" si="0"/>
        <v>10953000</v>
      </c>
      <c r="H11" s="14">
        <f t="shared" si="1"/>
        <v>1420267.3107452965</v>
      </c>
      <c r="I11" s="14">
        <f t="shared" si="2"/>
        <v>9532732.689254703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kMr/BYICiubvgGBLxyTrk2NucramDKoMUATXxuMt0qZjPHPJwgzLM5d0e9sT0YtFmh992dVRi8IPDaY8572FqA==" saltValue="G2gXg8zWiqT3pkFQhgf7l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w9KXoB2n3UitELA6IbH4TSJTrkbRgjscHf0Fveh9FJ6w7aRMPnQ4wxM6KpMqMkemTkah7+fuFryU86FzptmQjw==" saltValue="Tfy3gvxiwwbd4KFRJBRs2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7x+VoIK+ZDalKaM+QuEtE/XJj36ce5VBJFX5+ap5RmfPlix/eafPzAhm/icvGdTah6m/Ne7UK4gyQVECQlFV3w==" saltValue="6CyzKbUL2ZNCD4L4O1RC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9f8tyH18QwTNMywTiCK0NX+uzxFVN234X30rNS4IcCg+T5pAWc1kb0xznsR3h1M8AYWRy0r0QD69/gsdbfDmWA==" saltValue="7boXACVbrpNogp6iahUZ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l40hdGB+H+JNA5A+96rMkgmAT2+xwcgsVa0kfl8g+VdKNtpwXrvXBqdKDomsvHZzsD2H5yczZapHskbrLu+IsQ==" saltValue="td7CdfoukTGhjMqwkwjAK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KmtK/2+BJJFtUaJtoscyTpvoKGoK4o6otpJw2q+wu+ESDuU1DU0FRLg3d6sG+/OKRaRYagG7fLGwpzGCym+Tnw==" saltValue="E3QepAGOCXbbXoBRvTK2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SVRNM46c+WLjG2X5ibx9j/nIjFSTxD4SDRsTYESKPbIpcUpGSSP3xPZFpTOBtfB9asg7273JyBRJbN3s6zPvDQ==" saltValue="vyvCv6UuMJw1tWSqvaED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pIlJIkzzyTIJlQZSuFrTim2tDMOi2XnB9Qse004BLEe0kkbuy2iMWBWV1VKwbdbaiB0B8C5vQ6NbH2x6lHE5XQ==" saltValue="4bM2zrNuVjr6kDQEbNrf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HZfY21R5DdDBdSWarydggUrUrziyx5ebroPU9zpyyfu19WPLMVFGOE8ZpRCw8KpQW0+nLxCbRLIrW1qJ12rZ9w==" saltValue="4v20UxUSDerX8H4GK+kj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1ktjTde/V7aKQbOqLScgCJmKVfavumohfZhMW3pbJwLEV0HX8kEp6gQNmp6jYb83wFekjkCH0XW7AGgSOdoVbA==" saltValue="lXmglETi3hr8UVdTDB+3S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0.16033583546905689</v>
      </c>
    </row>
    <row r="5" spans="1:8" ht="15.75" customHeight="1" x14ac:dyDescent="0.2">
      <c r="B5" s="16" t="s">
        <v>80</v>
      </c>
      <c r="C5" s="54">
        <v>6.719680850372535E-2</v>
      </c>
    </row>
    <row r="6" spans="1:8" ht="15.75" customHeight="1" x14ac:dyDescent="0.2">
      <c r="B6" s="16" t="s">
        <v>81</v>
      </c>
      <c r="C6" s="54">
        <v>0.14227136169855481</v>
      </c>
    </row>
    <row r="7" spans="1:8" ht="15.75" customHeight="1" x14ac:dyDescent="0.2">
      <c r="B7" s="16" t="s">
        <v>82</v>
      </c>
      <c r="C7" s="54">
        <v>0.3964909147192377</v>
      </c>
    </row>
    <row r="8" spans="1:8" ht="15.75" customHeight="1" x14ac:dyDescent="0.2">
      <c r="B8" s="16" t="s">
        <v>83</v>
      </c>
      <c r="C8" s="54">
        <v>1.031272190442014E-4</v>
      </c>
    </row>
    <row r="9" spans="1:8" ht="15.75" customHeight="1" x14ac:dyDescent="0.2">
      <c r="B9" s="16" t="s">
        <v>84</v>
      </c>
      <c r="C9" s="54">
        <v>0.1747284136599136</v>
      </c>
    </row>
    <row r="10" spans="1:8" ht="15.75" customHeight="1" x14ac:dyDescent="0.2">
      <c r="B10" s="16" t="s">
        <v>85</v>
      </c>
      <c r="C10" s="54">
        <v>5.887353873046753E-2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0.1102965882193869</v>
      </c>
      <c r="D14" s="54">
        <v>0.1102965882193869</v>
      </c>
      <c r="E14" s="54">
        <v>0.1102965882193869</v>
      </c>
      <c r="F14" s="54">
        <v>0.1102965882193869</v>
      </c>
    </row>
    <row r="15" spans="1:8" ht="15.75" customHeight="1" x14ac:dyDescent="0.2">
      <c r="B15" s="16" t="s">
        <v>88</v>
      </c>
      <c r="C15" s="54">
        <v>0.16123905796571511</v>
      </c>
      <c r="D15" s="54">
        <v>0.16123905796571511</v>
      </c>
      <c r="E15" s="54">
        <v>0.16123905796571511</v>
      </c>
      <c r="F15" s="54">
        <v>0.16123905796571511</v>
      </c>
    </row>
    <row r="16" spans="1:8" ht="15.75" customHeight="1" x14ac:dyDescent="0.2">
      <c r="B16" s="16" t="s">
        <v>89</v>
      </c>
      <c r="C16" s="54">
        <v>3.0883223409954998E-2</v>
      </c>
      <c r="D16" s="54">
        <v>3.0883223409954998E-2</v>
      </c>
      <c r="E16" s="54">
        <v>3.0883223409954998E-2</v>
      </c>
      <c r="F16" s="54">
        <v>3.0883223409954998E-2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2.200386345462595E-2</v>
      </c>
      <c r="D18" s="54">
        <v>2.200386345462595E-2</v>
      </c>
      <c r="E18" s="54">
        <v>2.200386345462595E-2</v>
      </c>
      <c r="F18" s="54">
        <v>2.200386345462595E-2</v>
      </c>
    </row>
    <row r="19" spans="1:8" ht="15.75" customHeight="1" x14ac:dyDescent="0.2">
      <c r="B19" s="16" t="s">
        <v>92</v>
      </c>
      <c r="C19" s="54">
        <v>4.7111471572497954E-3</v>
      </c>
      <c r="D19" s="54">
        <v>4.7111471572497954E-3</v>
      </c>
      <c r="E19" s="54">
        <v>4.7111471572497954E-3</v>
      </c>
      <c r="F19" s="54">
        <v>4.7111471572497954E-3</v>
      </c>
    </row>
    <row r="20" spans="1:8" ht="15.75" customHeight="1" x14ac:dyDescent="0.2">
      <c r="B20" s="16" t="s">
        <v>93</v>
      </c>
      <c r="C20" s="54">
        <v>2.8996621350702759E-2</v>
      </c>
      <c r="D20" s="54">
        <v>2.8996621350702759E-2</v>
      </c>
      <c r="E20" s="54">
        <v>2.8996621350702759E-2</v>
      </c>
      <c r="F20" s="54">
        <v>2.8996621350702759E-2</v>
      </c>
    </row>
    <row r="21" spans="1:8" ht="15.75" customHeight="1" x14ac:dyDescent="0.2">
      <c r="B21" s="16" t="s">
        <v>94</v>
      </c>
      <c r="C21" s="54">
        <v>0.19343285380439651</v>
      </c>
      <c r="D21" s="54">
        <v>0.19343285380439651</v>
      </c>
      <c r="E21" s="54">
        <v>0.19343285380439651</v>
      </c>
      <c r="F21" s="54">
        <v>0.19343285380439651</v>
      </c>
    </row>
    <row r="22" spans="1:8" ht="15.75" customHeight="1" x14ac:dyDescent="0.2">
      <c r="B22" s="16" t="s">
        <v>95</v>
      </c>
      <c r="C22" s="54">
        <v>0.44843664463796812</v>
      </c>
      <c r="D22" s="54">
        <v>0.44843664463796812</v>
      </c>
      <c r="E22" s="54">
        <v>0.44843664463796812</v>
      </c>
      <c r="F22" s="54">
        <v>0.44843664463796812</v>
      </c>
    </row>
    <row r="23" spans="1:8" ht="15.75" customHeight="1" x14ac:dyDescent="0.2">
      <c r="B23" s="24" t="s">
        <v>41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5.8000000000000003E-2</v>
      </c>
    </row>
    <row r="27" spans="1:8" ht="15.75" customHeight="1" x14ac:dyDescent="0.2">
      <c r="B27" s="16" t="s">
        <v>102</v>
      </c>
      <c r="C27" s="54">
        <v>9.7000000000000003E-3</v>
      </c>
    </row>
    <row r="28" spans="1:8" ht="15.75" customHeight="1" x14ac:dyDescent="0.2">
      <c r="B28" s="16" t="s">
        <v>103</v>
      </c>
      <c r="C28" s="54">
        <v>0.28649999999999998</v>
      </c>
    </row>
    <row r="29" spans="1:8" ht="15.75" customHeight="1" x14ac:dyDescent="0.2">
      <c r="B29" s="16" t="s">
        <v>104</v>
      </c>
      <c r="C29" s="54">
        <v>0.1356</v>
      </c>
    </row>
    <row r="30" spans="1:8" ht="15.75" customHeight="1" x14ac:dyDescent="0.2">
      <c r="B30" s="16" t="s">
        <v>2</v>
      </c>
      <c r="C30" s="54">
        <v>0.13120000000000001</v>
      </c>
    </row>
    <row r="31" spans="1:8" ht="15.75" customHeight="1" x14ac:dyDescent="0.2">
      <c r="B31" s="16" t="s">
        <v>105</v>
      </c>
      <c r="C31" s="54">
        <v>2.92E-2</v>
      </c>
    </row>
    <row r="32" spans="1:8" ht="15.75" customHeight="1" x14ac:dyDescent="0.2">
      <c r="B32" s="16" t="s">
        <v>106</v>
      </c>
      <c r="C32" s="54">
        <v>6.4299999999999996E-2</v>
      </c>
    </row>
    <row r="33" spans="2:3" ht="15.75" customHeight="1" x14ac:dyDescent="0.2">
      <c r="B33" s="16" t="s">
        <v>107</v>
      </c>
      <c r="C33" s="54">
        <v>6.2100000000000002E-2</v>
      </c>
    </row>
    <row r="34" spans="2:3" ht="15.75" customHeight="1" x14ac:dyDescent="0.2">
      <c r="B34" s="16" t="s">
        <v>108</v>
      </c>
      <c r="C34" s="54">
        <v>0.2233999999977648</v>
      </c>
    </row>
    <row r="35" spans="2:3" ht="15.75" customHeight="1" x14ac:dyDescent="0.2">
      <c r="B35" s="24" t="s">
        <v>41</v>
      </c>
      <c r="C35" s="50">
        <f>SUM(C26:C34)</f>
        <v>0.9999999999977649</v>
      </c>
    </row>
  </sheetData>
  <sheetProtection algorithmName="SHA-512" hashValue="UNJs6Bi5bAlcLpnovi3oIVwIQUHFa/syvYW+syGV+CIOhjRVFLdKyp/rtneQo7jve5Rl3Up9BH8BHwaJ0nyAKQ==" saltValue="cGSYNnPraerP8bvHQdxEV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0.66993220991229097</v>
      </c>
      <c r="D2" s="55">
        <v>0.66993220991229097</v>
      </c>
      <c r="E2" s="55">
        <v>0.63733305169821897</v>
      </c>
      <c r="F2" s="55">
        <v>0.49870263046326302</v>
      </c>
      <c r="G2" s="55">
        <v>0.49240025164083101</v>
      </c>
    </row>
    <row r="3" spans="1:15" ht="15.75" customHeight="1" x14ac:dyDescent="0.2">
      <c r="B3" s="7" t="s">
        <v>113</v>
      </c>
      <c r="C3" s="55">
        <v>0.21202620512443601</v>
      </c>
      <c r="D3" s="55">
        <v>0.21202620512443601</v>
      </c>
      <c r="E3" s="55">
        <v>0.23070486072838201</v>
      </c>
      <c r="F3" s="55">
        <v>0.27245903623043199</v>
      </c>
      <c r="G3" s="55">
        <v>0.28564357060463003</v>
      </c>
    </row>
    <row r="4" spans="1:15" ht="15.75" customHeight="1" x14ac:dyDescent="0.2">
      <c r="B4" s="7" t="s">
        <v>114</v>
      </c>
      <c r="C4" s="56">
        <v>7.7066712124662401E-2</v>
      </c>
      <c r="D4" s="56">
        <v>7.7066712124662401E-2</v>
      </c>
      <c r="E4" s="56">
        <v>9.6537371135483094E-2</v>
      </c>
      <c r="F4" s="56">
        <v>0.154515657154602</v>
      </c>
      <c r="G4" s="56">
        <v>0.1536915783434</v>
      </c>
    </row>
    <row r="5" spans="1:15" ht="15.75" customHeight="1" x14ac:dyDescent="0.2">
      <c r="B5" s="7" t="s">
        <v>115</v>
      </c>
      <c r="C5" s="56">
        <v>4.0596596845534003E-2</v>
      </c>
      <c r="D5" s="56">
        <v>4.0596596845534003E-2</v>
      </c>
      <c r="E5" s="56">
        <v>3.52278526189157E-2</v>
      </c>
      <c r="F5" s="56">
        <v>7.4108360579895199E-2</v>
      </c>
      <c r="G5" s="56">
        <v>6.8050805535882303E-2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0.86305069809586299</v>
      </c>
      <c r="D8" s="55">
        <v>0.86305069809586299</v>
      </c>
      <c r="E8" s="55">
        <v>0.87183137075763395</v>
      </c>
      <c r="F8" s="55">
        <v>0.88777674364714398</v>
      </c>
      <c r="G8" s="55">
        <v>0.90687941695639196</v>
      </c>
    </row>
    <row r="9" spans="1:15" ht="15.75" customHeight="1" x14ac:dyDescent="0.2">
      <c r="B9" s="7" t="s">
        <v>118</v>
      </c>
      <c r="C9" s="55">
        <v>9.0642893241309391E-2</v>
      </c>
      <c r="D9" s="55">
        <v>9.0642893241309391E-2</v>
      </c>
      <c r="E9" s="55">
        <v>9.0780820868957196E-2</v>
      </c>
      <c r="F9" s="55">
        <v>8.7435523377699997E-2</v>
      </c>
      <c r="G9" s="55">
        <v>7.547397815501071E-2</v>
      </c>
    </row>
    <row r="10" spans="1:15" ht="15.75" customHeight="1" x14ac:dyDescent="0.2">
      <c r="B10" s="7" t="s">
        <v>119</v>
      </c>
      <c r="C10" s="56">
        <v>2.8793708364106298E-2</v>
      </c>
      <c r="D10" s="56">
        <v>2.8793708364106298E-2</v>
      </c>
      <c r="E10" s="56">
        <v>2.6829131488233401E-2</v>
      </c>
      <c r="F10" s="56">
        <v>1.7553400457541501E-2</v>
      </c>
      <c r="G10" s="56">
        <v>1.30328391238734E-2</v>
      </c>
    </row>
    <row r="11" spans="1:15" ht="15.75" customHeight="1" x14ac:dyDescent="0.2">
      <c r="B11" s="7" t="s">
        <v>120</v>
      </c>
      <c r="C11" s="56">
        <v>1.7093920573669499E-2</v>
      </c>
      <c r="D11" s="56">
        <v>1.7093920573669499E-2</v>
      </c>
      <c r="E11" s="56">
        <v>1.02465553983054E-2</v>
      </c>
      <c r="F11" s="56">
        <v>6.9951527830569614E-3</v>
      </c>
      <c r="G11" s="56">
        <v>4.4780495125480201E-3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0.41148677075000001</v>
      </c>
      <c r="D14" s="57">
        <v>0.38665276676100002</v>
      </c>
      <c r="E14" s="57">
        <v>0.38665276676100002</v>
      </c>
      <c r="F14" s="57">
        <v>0.23521444346199999</v>
      </c>
      <c r="G14" s="57">
        <v>0.23521444346199999</v>
      </c>
      <c r="H14" s="58">
        <v>0.373</v>
      </c>
      <c r="I14" s="58">
        <v>0.373</v>
      </c>
      <c r="J14" s="58">
        <v>0.373</v>
      </c>
      <c r="K14" s="58">
        <v>0.373</v>
      </c>
      <c r="L14" s="58">
        <v>0.10573165414000001</v>
      </c>
      <c r="M14" s="58">
        <v>0.14361354537150001</v>
      </c>
      <c r="N14" s="58">
        <v>0.1351517965755</v>
      </c>
      <c r="O14" s="58">
        <v>0.15570338231299999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0.26968157985845936</v>
      </c>
      <c r="D15" s="55">
        <f t="shared" si="0"/>
        <v>0.25340578703586641</v>
      </c>
      <c r="E15" s="55">
        <f t="shared" si="0"/>
        <v>0.25340578703586641</v>
      </c>
      <c r="F15" s="55">
        <f t="shared" si="0"/>
        <v>0.15415563081832181</v>
      </c>
      <c r="G15" s="55">
        <f t="shared" si="0"/>
        <v>0.15415563081832181</v>
      </c>
      <c r="H15" s="55">
        <f t="shared" si="0"/>
        <v>0.24445799096739329</v>
      </c>
      <c r="I15" s="55">
        <f t="shared" si="0"/>
        <v>0.24445799096739329</v>
      </c>
      <c r="J15" s="55">
        <f t="shared" si="0"/>
        <v>0.24445799096739329</v>
      </c>
      <c r="K15" s="55">
        <f t="shared" si="0"/>
        <v>0.24445799096739329</v>
      </c>
      <c r="L15" s="55">
        <f t="shared" si="0"/>
        <v>6.9294766093092958E-2</v>
      </c>
      <c r="M15" s="55">
        <f t="shared" si="0"/>
        <v>9.4121927016679555E-2</v>
      </c>
      <c r="N15" s="55">
        <f t="shared" si="0"/>
        <v>8.857623771174411E-2</v>
      </c>
      <c r="O15" s="55">
        <f t="shared" si="0"/>
        <v>0.10204540489829474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Ad9smg+M5Df60PJ3N/rqu6QrJJwdP6GGC05/4NMLmuBiiDdGulkbvr+6/DhLd781KMnyFhdwYu7xjA00Bs/l8A==" saltValue="1nvnpKzkIW5WH2YPdisT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0.539549017457844</v>
      </c>
      <c r="D2" s="56">
        <v>0.35821986807407402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0.12103883821986</v>
      </c>
      <c r="D3" s="56">
        <v>0.131303384925926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0.29482791161944599</v>
      </c>
      <c r="D4" s="56">
        <v>0.41057137481481498</v>
      </c>
      <c r="E4" s="56">
        <v>0.74607760248789901</v>
      </c>
      <c r="F4" s="56">
        <v>0.48696238432407402</v>
      </c>
      <c r="G4" s="56">
        <v>0</v>
      </c>
    </row>
    <row r="5" spans="1:7" x14ac:dyDescent="0.2">
      <c r="B5" s="98" t="s">
        <v>132</v>
      </c>
      <c r="C5" s="55">
        <v>4.4584232702850002E-2</v>
      </c>
      <c r="D5" s="55">
        <v>9.9905372185185096E-2</v>
      </c>
      <c r="E5" s="55">
        <v>0.25392239751210099</v>
      </c>
      <c r="F5" s="55">
        <v>0.51303761567592598</v>
      </c>
      <c r="G5" s="55">
        <v>1</v>
      </c>
    </row>
  </sheetData>
  <sheetProtection algorithmName="SHA-512" hashValue="nwh7NuF3GVJZSAA9wm6xb+S1131aRHV1vglu8pzMMDftEDfmCVzhbiu6n5zUOcEcaO7c7SXS2D1hvFbdQfj9Og==" saltValue="m46RSl6LSsMjfp1L2pH8N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rkvD7/R4t8Gnd5J2aleduDVUrk9ZrG/6OoP6jpD5Mt70wJjCls6TrJKd6moa1Rx6pA/Hm6W5DUqI35nO9HHDhg==" saltValue="AJOEl3pR8uuATOj81pOx9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CbfXJmdT3QGWf5PDXHgPITXDEfaoUTfThX5Gqy/2TNMxyltWX97n51Tett2LOoy+sAOdxGlDT0Qkq9MVmHKd3g==" saltValue="kI8+qh8SOfCfu3kVcI65d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/B20Va94E917N+Kwv3Cy2qFCMKNlTn2DxpAwBZTZx7AmO87MhO7QVw8ARq26vbxzGi8/FAZNwvIhv2OyHhkxHw==" saltValue="cfVEtSojnvBCA/2bWNrl4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9xnnch6gNwBPifdldoTzLCZh3sXHehrI3ClrTFHx8YCIDoI6ZHvuPUr6bLHlRzs6bAgcSMpm31r0txRAdibSNg==" saltValue="/DVCKjsiKHw57pzEgkTjg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2022-02-02T09:01:15Z</dcterms:modified>
</cp:coreProperties>
</file>