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568EA6AC-50A3-457A-B9DE-8D4EE8AFA833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34" i="2"/>
  <c r="A19" i="2"/>
  <c r="A17" i="2"/>
  <c r="H11" i="2"/>
  <c r="G11" i="2"/>
  <c r="H10" i="2"/>
  <c r="G10" i="2"/>
  <c r="I10" i="2" s="1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A35" i="2" l="1"/>
  <c r="I3" i="2"/>
  <c r="I9" i="2"/>
  <c r="A18" i="2"/>
  <c r="A25" i="2"/>
  <c r="I7" i="2"/>
  <c r="A26" i="2"/>
  <c r="A39" i="2"/>
  <c r="A27" i="2"/>
  <c r="I39" i="2"/>
  <c r="I11" i="2"/>
  <c r="A33" i="2"/>
  <c r="A37" i="2"/>
  <c r="A20" i="2"/>
  <c r="A13" i="2"/>
  <c r="A21" i="2"/>
  <c r="A29" i="2"/>
  <c r="A14" i="2"/>
  <c r="A22" i="2"/>
  <c r="A30" i="2"/>
  <c r="A38" i="2"/>
  <c r="A40" i="2"/>
  <c r="D58" i="20"/>
  <c r="A36" i="2"/>
  <c r="A12" i="2"/>
  <c r="A2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<sst xmlns="http://schemas.openxmlformats.org/spreadsheetml/2006/main" count="2092" uniqueCount="337">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</sst>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1980170.390625</v>
      </c>
    </row>
    <row r="8" spans="1:3" ht="15" customHeight="1" x14ac:dyDescent="0.2">
      <c r="B8" s="7" t="s">
        <v>19</v>
      </c>
      <c r="C8" s="46">
        <v>0.7</v>
      </c>
    </row>
    <row r="9" spans="1:3" ht="15" customHeight="1" x14ac:dyDescent="0.2">
      <c r="B9" s="7" t="s">
        <v>20</v>
      </c>
      <c r="C9" s="47">
        <v>0.54</v>
      </c>
    </row>
    <row r="10" spans="1:3" ht="15" customHeight="1" x14ac:dyDescent="0.2">
      <c r="B10" s="7" t="s">
        <v>21</v>
      </c>
      <c r="C10" s="47">
        <v>0.44076328277587901</v>
      </c>
    </row>
    <row r="11" spans="1:3" ht="15" customHeight="1" x14ac:dyDescent="0.2">
      <c r="B11" s="7" t="s">
        <v>22</v>
      </c>
      <c r="C11" s="46">
        <v>0.75700000000000001</v>
      </c>
    </row>
    <row r="12" spans="1:3" ht="15" customHeight="1" x14ac:dyDescent="0.2">
      <c r="B12" s="7" t="s">
        <v>23</v>
      </c>
      <c r="C12" s="46">
        <v>0.498</v>
      </c>
    </row>
    <row r="13" spans="1:3" ht="15" customHeight="1" x14ac:dyDescent="0.2">
      <c r="B13" s="7" t="s">
        <v>24</v>
      </c>
      <c r="C13" s="46">
        <v>0.14799999999999999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0.14299999999999999</v>
      </c>
    </row>
    <row r="24" spans="1:3" ht="15" customHeight="1" x14ac:dyDescent="0.2">
      <c r="B24" s="12" t="s">
        <v>33</v>
      </c>
      <c r="C24" s="47">
        <v>0.49020000000000002</v>
      </c>
    </row>
    <row r="25" spans="1:3" ht="15" customHeight="1" x14ac:dyDescent="0.2">
      <c r="B25" s="12" t="s">
        <v>34</v>
      </c>
      <c r="C25" s="47">
        <v>0.31659999999999999</v>
      </c>
    </row>
    <row r="26" spans="1:3" ht="15" customHeight="1" x14ac:dyDescent="0.2">
      <c r="B26" s="12" t="s">
        <v>35</v>
      </c>
      <c r="C26" s="47">
        <v>5.0199999999999988E-2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0.32400000000000001</v>
      </c>
    </row>
    <row r="30" spans="1:3" ht="14.25" customHeight="1" x14ac:dyDescent="0.2">
      <c r="B30" s="22" t="s">
        <v>38</v>
      </c>
      <c r="C30" s="49">
        <v>2.5000000000000001E-2</v>
      </c>
    </row>
    <row r="31" spans="1:3" ht="14.25" customHeight="1" x14ac:dyDescent="0.2">
      <c r="B31" s="22" t="s">
        <v>39</v>
      </c>
      <c r="C31" s="49">
        <v>4.4999999999999998E-2</v>
      </c>
    </row>
    <row r="32" spans="1:3" ht="14.25" customHeight="1" x14ac:dyDescent="0.2">
      <c r="B32" s="22" t="s">
        <v>40</v>
      </c>
      <c r="C32" s="49">
        <v>0.60599999999999998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25.864264873084501</v>
      </c>
    </row>
    <row r="38" spans="1:5" ht="15" customHeight="1" x14ac:dyDescent="0.2">
      <c r="B38" s="28" t="s">
        <v>45</v>
      </c>
      <c r="C38" s="117">
        <v>38.423775587698401</v>
      </c>
      <c r="D38" s="9"/>
      <c r="E38" s="10"/>
    </row>
    <row r="39" spans="1:5" ht="15" customHeight="1" x14ac:dyDescent="0.2">
      <c r="B39" s="28" t="s">
        <v>46</v>
      </c>
      <c r="C39" s="117">
        <v>54.612967442693602</v>
      </c>
      <c r="D39" s="9"/>
      <c r="E39" s="9"/>
    </row>
    <row r="40" spans="1:5" ht="15" customHeight="1" x14ac:dyDescent="0.2">
      <c r="B40" s="28" t="s">
        <v>47</v>
      </c>
      <c r="C40" s="117">
        <v>458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16.046522209999999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2.6584400000000001E-2</v>
      </c>
      <c r="D45" s="9"/>
    </row>
    <row r="46" spans="1:5" ht="15.75" customHeight="1" x14ac:dyDescent="0.2">
      <c r="B46" s="28" t="s">
        <v>52</v>
      </c>
      <c r="C46" s="47">
        <v>0.13893900000000001</v>
      </c>
      <c r="D46" s="9"/>
    </row>
    <row r="47" spans="1:5" ht="15.75" customHeight="1" x14ac:dyDescent="0.2">
      <c r="B47" s="28" t="s">
        <v>53</v>
      </c>
      <c r="C47" s="47">
        <v>0.19298950000000001</v>
      </c>
      <c r="D47" s="9"/>
      <c r="E47" s="10"/>
    </row>
    <row r="48" spans="1:5" ht="15" customHeight="1" x14ac:dyDescent="0.2">
      <c r="B48" s="28" t="s">
        <v>54</v>
      </c>
      <c r="C48" s="48">
        <v>0.64148709999999998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0.42641971098609671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12.628009</v>
      </c>
    </row>
    <row r="63" spans="1:4" ht="15.75" customHeight="1" x14ac:dyDescent="0.2">
      <c r="A63" s="39"/>
    </row>
  </sheetData>
  <sheetProtection algorithmName="SHA-512" hashValue="XQYTVuZ1Hh1OpTrgVzUc5cmgH20x3UXRChy5PIaKjd3DK7Nn0NVpTCfHLXOxcCuUSRT0ididV85urxOsYOr6Uw==" saltValue="zGjePPBLkalB1aUAqGvx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0.28682710081356799</v>
      </c>
      <c r="C2" s="115">
        <v>0.95</v>
      </c>
      <c r="D2" s="116">
        <v>38.160776266150833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47.437843551227417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102.9076648678451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0.45690560806451591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15.09709288172251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15.09709288172251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15.09709288172251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15.09709288172251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15.09709288172251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15.09709288172251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0.2755978</v>
      </c>
      <c r="C16" s="115">
        <v>0.95</v>
      </c>
      <c r="D16" s="116">
        <v>0.29966946653826387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8.6839288888888894E-2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0.167184</v>
      </c>
      <c r="C18" s="115">
        <v>0.95</v>
      </c>
      <c r="D18" s="116">
        <v>2.4661440905760248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0.167184</v>
      </c>
      <c r="C19" s="115">
        <v>0.95</v>
      </c>
      <c r="D19" s="116">
        <v>2.4661440905760248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0.85498660000000004</v>
      </c>
      <c r="C21" s="115">
        <v>0.95</v>
      </c>
      <c r="D21" s="116">
        <v>3.3085818740876318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25.756145724245069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4.9613185520035712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0.45863823887284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0.396723061800003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21.789130572923639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0.22490360000000001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8.900000000000001E-2</v>
      </c>
      <c r="C29" s="115">
        <v>0.95</v>
      </c>
      <c r="D29" s="116">
        <v>68.300854175426551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0.8470232226654113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0.58527783165992031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0.64379720000000007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0.39527390000000001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0.309959402329336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0.36791261173295298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5.2830002631247943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0.36221397559649399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PdS+MbSXgKdIYccTV8IIzVTcKUWhp7s7L3WO40bEqTlKwYTqIB/V6ZVNFPGTxPHDzR3lBoUpIBaU1dd+DplGpw==" saltValue="rGKfhmXG13uzTC9RU7OC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ssmRTmHdUAWsnsj8fgB6cnPNhXFKHdP2cg8+G3SWVxeYKLsWcUjjl5tFNiv1LZrQUbPi6dhvy99QVAGupZPPyw==" saltValue="BXXevAn+JAoZOtTZfM0F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cfrP9ZfjB8IjHmC9jJKta0J4w0cqt5qJkzOFLReSXnnYwt1EsNDllSQm1F7K58cyl39AqtvJAp1Im8km8qeeHg==" saltValue="SAwBZd2UDPyRajqPzyo7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6.8118291800000008E-2</v>
      </c>
      <c r="C3" s="18">
        <f>frac_mam_1_5months * 2.6</f>
        <v>6.8118291800000008E-2</v>
      </c>
      <c r="D3" s="18">
        <f>frac_mam_6_11months * 2.6</f>
        <v>9.5229664399999997E-2</v>
      </c>
      <c r="E3" s="18">
        <f>frac_mam_12_23months * 2.6</f>
        <v>0.1015080872</v>
      </c>
      <c r="F3" s="18">
        <f>frac_mam_24_59months * 2.6</f>
        <v>5.0238804200000001E-2</v>
      </c>
    </row>
    <row r="4" spans="1:6" ht="15.75" customHeight="1" x14ac:dyDescent="0.2">
      <c r="A4" s="4" t="s">
        <v>208</v>
      </c>
      <c r="B4" s="18">
        <f>frac_sam_1month * 2.6</f>
        <v>2.2207817840000001E-2</v>
      </c>
      <c r="C4" s="18">
        <f>frac_sam_1_5months * 2.6</f>
        <v>2.2207817840000001E-2</v>
      </c>
      <c r="D4" s="18">
        <f>frac_sam_6_11months * 2.6</f>
        <v>1.136269914E-2</v>
      </c>
      <c r="E4" s="18">
        <f>frac_sam_12_23months * 2.6</f>
        <v>1.2650812200000002E-2</v>
      </c>
      <c r="F4" s="18">
        <f>frac_sam_24_59months * 2.6</f>
        <v>4.5790568199999999E-3</v>
      </c>
    </row>
  </sheetData>
  <sheetProtection algorithmName="SHA-512" hashValue="L6KrnX0HkQcNpsHrOX9LbjROZYOGwcHcvk+T1U05zETcwPokh/BO+Oz45P8ltrZSY4/OPyjclc8xIiQJxtmIhA==" saltValue="MgUz/8DHj2r0A8zbBrAI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0.7</v>
      </c>
      <c r="E2" s="65">
        <f>food_insecure</f>
        <v>0.7</v>
      </c>
      <c r="F2" s="65">
        <f>food_insecure</f>
        <v>0.7</v>
      </c>
      <c r="G2" s="65">
        <f>food_insecure</f>
        <v>0.7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0.7</v>
      </c>
      <c r="F5" s="65">
        <f>food_insecure</f>
        <v>0.7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0.7</v>
      </c>
      <c r="F8" s="65">
        <f>food_insecure</f>
        <v>0.7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0.7</v>
      </c>
      <c r="F9" s="65">
        <f>food_insecure</f>
        <v>0.7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0.498</v>
      </c>
      <c r="E10" s="65">
        <f>IF(ISBLANK(comm_deliv), frac_children_health_facility,1)</f>
        <v>0.498</v>
      </c>
      <c r="F10" s="65">
        <f>IF(ISBLANK(comm_deliv), frac_children_health_facility,1)</f>
        <v>0.498</v>
      </c>
      <c r="G10" s="65">
        <f>IF(ISBLANK(comm_deliv), frac_children_health_facility,1)</f>
        <v>0.498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</v>
      </c>
      <c r="I15" s="65">
        <f>food_insecure</f>
        <v>0.7</v>
      </c>
      <c r="J15" s="65">
        <f>food_insecure</f>
        <v>0.7</v>
      </c>
      <c r="K15" s="65">
        <f>food_insecure</f>
        <v>0.7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0.75700000000000001</v>
      </c>
      <c r="I18" s="65">
        <f>frac_PW_health_facility</f>
        <v>0.75700000000000001</v>
      </c>
      <c r="J18" s="65">
        <f>frac_PW_health_facility</f>
        <v>0.75700000000000001</v>
      </c>
      <c r="K18" s="65">
        <f>frac_PW_health_facility</f>
        <v>0.75700000000000001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0.54</v>
      </c>
      <c r="I19" s="65">
        <f>frac_malaria_risk</f>
        <v>0.54</v>
      </c>
      <c r="J19" s="65">
        <f>frac_malaria_risk</f>
        <v>0.54</v>
      </c>
      <c r="K19" s="65">
        <f>frac_malaria_risk</f>
        <v>0.54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0.14799999999999999</v>
      </c>
      <c r="M24" s="65">
        <f>famplan_unmet_need</f>
        <v>0.14799999999999999</v>
      </c>
      <c r="N24" s="65">
        <f>famplan_unmet_need</f>
        <v>0.14799999999999999</v>
      </c>
      <c r="O24" s="65">
        <f>famplan_unmet_need</f>
        <v>0.14799999999999999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0.35623378887176504</v>
      </c>
      <c r="M25" s="65">
        <f>(1-food_insecure)*(0.49)+food_insecure*(0.7)</f>
        <v>0.63700000000000001</v>
      </c>
      <c r="N25" s="65">
        <f>(1-food_insecure)*(0.49)+food_insecure*(0.7)</f>
        <v>0.63700000000000001</v>
      </c>
      <c r="O25" s="65">
        <f>(1-food_insecure)*(0.49)+food_insecure*(0.7)</f>
        <v>0.63700000000000001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0.15267162380218505</v>
      </c>
      <c r="M26" s="65">
        <f>(1-food_insecure)*(0.21)+food_insecure*(0.3)</f>
        <v>0.27300000000000002</v>
      </c>
      <c r="N26" s="65">
        <f>(1-food_insecure)*(0.21)+food_insecure*(0.3)</f>
        <v>0.27300000000000002</v>
      </c>
      <c r="O26" s="65">
        <f>(1-food_insecure)*(0.21)+food_insecure*(0.3)</f>
        <v>0.27300000000000002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5.0331304550170902E-2</v>
      </c>
      <c r="M27" s="65">
        <f>(1-food_insecure)*(0.3)</f>
        <v>9.0000000000000011E-2</v>
      </c>
      <c r="N27" s="65">
        <f>(1-food_insecure)*(0.3)</f>
        <v>9.0000000000000011E-2</v>
      </c>
      <c r="O27" s="65">
        <f>(1-food_insecure)*(0.3)</f>
        <v>9.0000000000000011E-2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0.44076328277587895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0.54</v>
      </c>
      <c r="D34" s="65">
        <f t="shared" si="3"/>
        <v>0.54</v>
      </c>
      <c r="E34" s="65">
        <f t="shared" si="3"/>
        <v>0.54</v>
      </c>
      <c r="F34" s="65">
        <f t="shared" si="3"/>
        <v>0.54</v>
      </c>
      <c r="G34" s="65">
        <f t="shared" si="3"/>
        <v>0.54</v>
      </c>
      <c r="H34" s="65">
        <f t="shared" si="3"/>
        <v>0.54</v>
      </c>
      <c r="I34" s="65">
        <f t="shared" si="3"/>
        <v>0.54</v>
      </c>
      <c r="J34" s="65">
        <f t="shared" si="3"/>
        <v>0.54</v>
      </c>
      <c r="K34" s="65">
        <f t="shared" si="3"/>
        <v>0.54</v>
      </c>
      <c r="L34" s="65">
        <f t="shared" si="3"/>
        <v>0.54</v>
      </c>
      <c r="M34" s="65">
        <f t="shared" si="3"/>
        <v>0.54</v>
      </c>
      <c r="N34" s="65">
        <f t="shared" si="3"/>
        <v>0.54</v>
      </c>
      <c r="O34" s="65">
        <f t="shared" si="3"/>
        <v>0.54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9EH1bGBcxqtpFdya+4Z9OmkBWu6bMUyTkQoT44nszNFKeBD9UXA4Uc1QMB9DrbOxylfu6PODik14uLgmgrgTHA==" saltValue="xJR/tYTfVUdFvhwp9fCv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pBp5yxxyUkJbOJ+evD34VpBM+Ik1S2AHomuKlfn4YIrePvS+S2klKsDfjefm/gXmEZ8AeLC1vbscUEHBdKbICw==" saltValue="fpzaB7E+y2yf+/VDYQBc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rmj3SSgQO62ME32jZCf/E1fpvIpC3KiEuw0EtPFy/FTTj8gydq8VGbCe/+q1GBgzLV7UBtfqbt8oMw9FI7G21w==" saltValue="lIEC6KwUwZikOXydc2vM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8cidVhh8On/3MmaOg6OwQHhn7pwAKPudT5A9LtqN6fu+pqMTZv3OHRPjHvv1ofB/3n9JZ01BnTdluNOycR6+g==" saltValue="t83uc6WU8/r4xhbXaPbtP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8wpcBjjvEcvnh3kYBJxg/iNR1lAZbcePQTY7Lq3TfmNX+HeG1afCg7nVN7JxQnrpZ50oY/uTSdilObmEFY0Iqg==" saltValue="ItrOrsprOCeTnQC+5iv9X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SjB39eH8WIznyt38qCyEHFQlfW/Q0XprcF2sXoWVxGmM8sdWQv9lNJTlLIeurRljwpKR4/gUAsgOPwsgJnQ1GA==" saltValue="wKW1/hngGNZ1jmEFnAGxn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532986.72</v>
      </c>
      <c r="C2" s="53">
        <v>945000</v>
      </c>
      <c r="D2" s="53">
        <v>1627000</v>
      </c>
      <c r="E2" s="53">
        <v>1368000</v>
      </c>
      <c r="F2" s="53">
        <v>831000</v>
      </c>
      <c r="G2" s="14">
        <f t="shared" ref="G2:G11" si="0">C2+D2+E2+F2</f>
        <v>4771000</v>
      </c>
      <c r="H2" s="14">
        <f t="shared" ref="H2:H11" si="1">(B2 + stillbirth*B2/(1000-stillbirth))/(1-abortion)</f>
        <v>567797.46392381121</v>
      </c>
      <c r="I2" s="14">
        <f t="shared" ref="I2:I11" si="2">G2-H2</f>
        <v>4203202.536076189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534285.82299999997</v>
      </c>
      <c r="C3" s="53">
        <v>972000</v>
      </c>
      <c r="D3" s="53">
        <v>1645000</v>
      </c>
      <c r="E3" s="53">
        <v>1391000</v>
      </c>
      <c r="F3" s="53">
        <v>884000</v>
      </c>
      <c r="G3" s="14">
        <f t="shared" si="0"/>
        <v>4892000</v>
      </c>
      <c r="H3" s="14">
        <f t="shared" si="1"/>
        <v>569181.41470738011</v>
      </c>
      <c r="I3" s="14">
        <f t="shared" si="2"/>
        <v>4322818.5852926197</v>
      </c>
    </row>
    <row r="4" spans="1:9" ht="15.75" customHeight="1" x14ac:dyDescent="0.2">
      <c r="A4" s="7">
        <f t="shared" si="3"/>
        <v>2023</v>
      </c>
      <c r="B4" s="52">
        <v>535154.598</v>
      </c>
      <c r="C4" s="53">
        <v>1001000</v>
      </c>
      <c r="D4" s="53">
        <v>1664000</v>
      </c>
      <c r="E4" s="53">
        <v>1410000</v>
      </c>
      <c r="F4" s="53">
        <v>937000</v>
      </c>
      <c r="G4" s="14">
        <f t="shared" si="0"/>
        <v>5012000</v>
      </c>
      <c r="H4" s="14">
        <f t="shared" si="1"/>
        <v>570106.93165406957</v>
      </c>
      <c r="I4" s="14">
        <f t="shared" si="2"/>
        <v>4441893.0683459304</v>
      </c>
    </row>
    <row r="5" spans="1:9" ht="15.75" customHeight="1" x14ac:dyDescent="0.2">
      <c r="A5" s="7">
        <f t="shared" si="3"/>
        <v>2024</v>
      </c>
      <c r="B5" s="52">
        <v>535650.47</v>
      </c>
      <c r="C5" s="53">
        <v>1032000</v>
      </c>
      <c r="D5" s="53">
        <v>1689000</v>
      </c>
      <c r="E5" s="53">
        <v>1427000</v>
      </c>
      <c r="F5" s="53">
        <v>988000</v>
      </c>
      <c r="G5" s="14">
        <f t="shared" si="0"/>
        <v>5136000</v>
      </c>
      <c r="H5" s="14">
        <f t="shared" si="1"/>
        <v>570635.190339447</v>
      </c>
      <c r="I5" s="14">
        <f t="shared" si="2"/>
        <v>4565364.809660553</v>
      </c>
    </row>
    <row r="6" spans="1:9" ht="15.75" customHeight="1" x14ac:dyDescent="0.2">
      <c r="A6" s="7">
        <f t="shared" si="3"/>
        <v>2025</v>
      </c>
      <c r="B6" s="52">
        <v>535853.98</v>
      </c>
      <c r="C6" s="53">
        <v>1065000</v>
      </c>
      <c r="D6" s="53">
        <v>1719000</v>
      </c>
      <c r="E6" s="53">
        <v>1445000</v>
      </c>
      <c r="F6" s="53">
        <v>1036000</v>
      </c>
      <c r="G6" s="14">
        <f t="shared" si="0"/>
        <v>5265000</v>
      </c>
      <c r="H6" s="14">
        <f t="shared" si="1"/>
        <v>570851.99210494524</v>
      </c>
      <c r="I6" s="14">
        <f t="shared" si="2"/>
        <v>4694148.0078950543</v>
      </c>
    </row>
    <row r="7" spans="1:9" ht="15.75" customHeight="1" x14ac:dyDescent="0.2">
      <c r="A7" s="7">
        <f t="shared" si="3"/>
        <v>2026</v>
      </c>
      <c r="B7" s="52">
        <v>539414.6712000001</v>
      </c>
      <c r="C7" s="53">
        <v>1097000</v>
      </c>
      <c r="D7" s="53">
        <v>1753000</v>
      </c>
      <c r="E7" s="53">
        <v>1460000</v>
      </c>
      <c r="F7" s="53">
        <v>1082000</v>
      </c>
      <c r="G7" s="14">
        <f t="shared" si="0"/>
        <v>5392000</v>
      </c>
      <c r="H7" s="14">
        <f t="shared" si="1"/>
        <v>574645.2412747856</v>
      </c>
      <c r="I7" s="14">
        <f t="shared" si="2"/>
        <v>4817354.7587252147</v>
      </c>
    </row>
    <row r="8" spans="1:9" ht="15.75" customHeight="1" x14ac:dyDescent="0.2">
      <c r="A8" s="7">
        <f t="shared" si="3"/>
        <v>2027</v>
      </c>
      <c r="B8" s="52">
        <v>542786.05760000006</v>
      </c>
      <c r="C8" s="53">
        <v>1131000</v>
      </c>
      <c r="D8" s="53">
        <v>1793000</v>
      </c>
      <c r="E8" s="53">
        <v>1476000</v>
      </c>
      <c r="F8" s="53">
        <v>1125000</v>
      </c>
      <c r="G8" s="14">
        <f t="shared" si="0"/>
        <v>5525000</v>
      </c>
      <c r="H8" s="14">
        <f t="shared" si="1"/>
        <v>578236.82165755227</v>
      </c>
      <c r="I8" s="14">
        <f t="shared" si="2"/>
        <v>4946763.1783424476</v>
      </c>
    </row>
    <row r="9" spans="1:9" ht="15.75" customHeight="1" x14ac:dyDescent="0.2">
      <c r="A9" s="7">
        <f t="shared" si="3"/>
        <v>2028</v>
      </c>
      <c r="B9" s="52">
        <v>545964.99100000015</v>
      </c>
      <c r="C9" s="53">
        <v>1164000</v>
      </c>
      <c r="D9" s="53">
        <v>1837000</v>
      </c>
      <c r="E9" s="53">
        <v>1491000</v>
      </c>
      <c r="F9" s="53">
        <v>1165000</v>
      </c>
      <c r="G9" s="14">
        <f t="shared" si="0"/>
        <v>5657000</v>
      </c>
      <c r="H9" s="14">
        <f t="shared" si="1"/>
        <v>581623.3794361453</v>
      </c>
      <c r="I9" s="14">
        <f t="shared" si="2"/>
        <v>5075376.6205638545</v>
      </c>
    </row>
    <row r="10" spans="1:9" ht="15.75" customHeight="1" x14ac:dyDescent="0.2">
      <c r="A10" s="7">
        <f t="shared" si="3"/>
        <v>2029</v>
      </c>
      <c r="B10" s="52">
        <v>548948.32320000022</v>
      </c>
      <c r="C10" s="53">
        <v>1192000</v>
      </c>
      <c r="D10" s="53">
        <v>1888000</v>
      </c>
      <c r="E10" s="53">
        <v>1509000</v>
      </c>
      <c r="F10" s="53">
        <v>1200000</v>
      </c>
      <c r="G10" s="14">
        <f t="shared" si="0"/>
        <v>5789000</v>
      </c>
      <c r="H10" s="14">
        <f t="shared" si="1"/>
        <v>584801.56079346372</v>
      </c>
      <c r="I10" s="14">
        <f t="shared" si="2"/>
        <v>5204198.4392065359</v>
      </c>
    </row>
    <row r="11" spans="1:9" ht="15.75" customHeight="1" x14ac:dyDescent="0.2">
      <c r="A11" s="7">
        <f t="shared" si="3"/>
        <v>2030</v>
      </c>
      <c r="B11" s="52">
        <v>551758.53700000001</v>
      </c>
      <c r="C11" s="53">
        <v>1213000</v>
      </c>
      <c r="D11" s="53">
        <v>1943000</v>
      </c>
      <c r="E11" s="53">
        <v>1527000</v>
      </c>
      <c r="F11" s="53">
        <v>1233000</v>
      </c>
      <c r="G11" s="14">
        <f t="shared" si="0"/>
        <v>5916000</v>
      </c>
      <c r="H11" s="14">
        <f t="shared" si="1"/>
        <v>587795.31693943962</v>
      </c>
      <c r="I11" s="14">
        <f t="shared" si="2"/>
        <v>5328204.6830605604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j6XWaiHveqom/LEM9CWCGb2SNe0DWfMelPmjLDhOXdIjziZ21nySm77r85ubzVsgVi8RCO6q992fM5UlbvQDQ==" saltValue="jfKdtgSEsmYi1GtDunhXe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dquH2TKLq142J+i1fv9F3lBtS1lU9kBqsSQbpHFDXPnFZu30TFjlVcXchoS0S26b24nIdoSL5VuL6ZrsN9HrA==" saltValue="zsdsfo2eQcqZ4ofuaUBcr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rPcMr4E9i4m2yiLFf1F2WBBFJBYwNT4GfrrnNA3IAs7KcaVa4P/IrT8bQTyYTJFtV8JsHUIa3scG+GY9Y3ZFWA==" saltValue="Hx06R8zZbbOcU3/LsezG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Qf0kEBW2oRbg3QiGw86FKjPDPvmU0jd+BFvrcDE2FQHuLt8Wo3lewe72Otd67d3CTAGnLfVLWGZgVPHoRdniIg==" saltValue="DYaWU6u229DTAoclYRbQ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n7c8NcrpPhtMpngYMU3ZSFjVM5FTMMfRvHy1g8X6NVYvT/qF0egVcoR90wuqWEetXN1PWzR15UN6ugrf7T0Efg==" saltValue="n81JglJu22KoAVzHRa7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X62hmPaFowqPFdzw4j57uC9PAONj8ut/8W9byJF7GeRnbubMHHFQvPaX3AXjHT4c0GmlZ2qocwEh5aWEG7ob9A==" saltValue="nszZftytmyp8Fyd1ztF5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SNRQfHVCzJcUY8Uiq4aozUPadR/Tn1eKrHftiUmJmr1fAj1EjEA6u0vmRv0ha3o08Nh2n+CfFtnyB7rbNfFAoQ==" saltValue="Oa/9Z2JSBbuoaUjPxSB+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LcMMnj5+IYCizGHuMxosEbvaFFUmAI6OahfN5wKX3MfUeSUsMATVa73N7hAumI1B+TsYit7Q25/u6YyNCBfRg==" saltValue="UgJ7MOpna3upcq5msgEM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97gwjqnLkKZbLLtTEAmp7rXlSRX9pOg8vTidpc1uOX6yAZiDHwiX/7aokqvzf5CCmuCMU9CqkuTu9GM3cegnJw==" saltValue="/qhEXbuLUYCfUZNDqCEP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Ju6rRN/QkeXF7FdabBoodmoKiJwGeIaPnX19ac2t2CZiPpEvtkeff2Sj2m2qyeEwhwm4f+3eXslyI8n93lLjQ==" saltValue="7w1PAq63tyDhm8wh3nIEy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4.4320097401913663E-3</v>
      </c>
    </row>
    <row r="4" spans="1:8" ht="15.75" customHeight="1" x14ac:dyDescent="0.2">
      <c r="B4" s="16" t="s">
        <v>79</v>
      </c>
      <c r="C4" s="54">
        <v>0.13872304803457741</v>
      </c>
    </row>
    <row r="5" spans="1:8" ht="15.75" customHeight="1" x14ac:dyDescent="0.2">
      <c r="B5" s="16" t="s">
        <v>80</v>
      </c>
      <c r="C5" s="54">
        <v>6.690203499494643E-2</v>
      </c>
    </row>
    <row r="6" spans="1:8" ht="15.75" customHeight="1" x14ac:dyDescent="0.2">
      <c r="B6" s="16" t="s">
        <v>81</v>
      </c>
      <c r="C6" s="54">
        <v>0.27582210643047639</v>
      </c>
    </row>
    <row r="7" spans="1:8" ht="15.75" customHeight="1" x14ac:dyDescent="0.2">
      <c r="B7" s="16" t="s">
        <v>82</v>
      </c>
      <c r="C7" s="54">
        <v>0.33245922052259269</v>
      </c>
    </row>
    <row r="8" spans="1:8" ht="15.75" customHeight="1" x14ac:dyDescent="0.2">
      <c r="B8" s="16" t="s">
        <v>83</v>
      </c>
      <c r="C8" s="54">
        <v>7.6589048996933929E-3</v>
      </c>
    </row>
    <row r="9" spans="1:8" ht="15.75" customHeight="1" x14ac:dyDescent="0.2">
      <c r="B9" s="16" t="s">
        <v>84</v>
      </c>
      <c r="C9" s="54">
        <v>0.11187272124694771</v>
      </c>
    </row>
    <row r="10" spans="1:8" ht="15.75" customHeight="1" x14ac:dyDescent="0.2">
      <c r="B10" s="16" t="s">
        <v>85</v>
      </c>
      <c r="C10" s="54">
        <v>6.2129954130574747E-2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0.1109211220603194</v>
      </c>
      <c r="D14" s="54">
        <v>0.1109211220603194</v>
      </c>
      <c r="E14" s="54">
        <v>0.1109211220603194</v>
      </c>
      <c r="F14" s="54">
        <v>0.1109211220603194</v>
      </c>
    </row>
    <row r="15" spans="1:8" ht="15.75" customHeight="1" x14ac:dyDescent="0.2">
      <c r="B15" s="16" t="s">
        <v>88</v>
      </c>
      <c r="C15" s="54">
        <v>0.17070695042004569</v>
      </c>
      <c r="D15" s="54">
        <v>0.17070695042004569</v>
      </c>
      <c r="E15" s="54">
        <v>0.17070695042004569</v>
      </c>
      <c r="F15" s="54">
        <v>0.17070695042004569</v>
      </c>
    </row>
    <row r="16" spans="1:8" ht="15.75" customHeight="1" x14ac:dyDescent="0.2">
      <c r="B16" s="16" t="s">
        <v>89</v>
      </c>
      <c r="C16" s="54">
        <v>1.9428714783453541E-2</v>
      </c>
      <c r="D16" s="54">
        <v>1.9428714783453541E-2</v>
      </c>
      <c r="E16" s="54">
        <v>1.9428714783453541E-2</v>
      </c>
      <c r="F16" s="54">
        <v>1.9428714783453541E-2</v>
      </c>
    </row>
    <row r="17" spans="1:8" ht="15.75" customHeight="1" x14ac:dyDescent="0.2">
      <c r="B17" s="16" t="s">
        <v>90</v>
      </c>
      <c r="C17" s="54">
        <v>6.4717040322643518E-4</v>
      </c>
      <c r="D17" s="54">
        <v>6.4717040322643518E-4</v>
      </c>
      <c r="E17" s="54">
        <v>6.4717040322643518E-4</v>
      </c>
      <c r="F17" s="54">
        <v>6.4717040322643518E-4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2.8606397094022738E-3</v>
      </c>
      <c r="D19" s="54">
        <v>2.8606397094022738E-3</v>
      </c>
      <c r="E19" s="54">
        <v>2.8606397094022738E-3</v>
      </c>
      <c r="F19" s="54">
        <v>2.8606397094022738E-3</v>
      </c>
    </row>
    <row r="20" spans="1:8" ht="15.75" customHeight="1" x14ac:dyDescent="0.2">
      <c r="B20" s="16" t="s">
        <v>93</v>
      </c>
      <c r="C20" s="54">
        <v>0.25545548376855648</v>
      </c>
      <c r="D20" s="54">
        <v>0.25545548376855648</v>
      </c>
      <c r="E20" s="54">
        <v>0.25545548376855648</v>
      </c>
      <c r="F20" s="54">
        <v>0.25545548376855648</v>
      </c>
    </row>
    <row r="21" spans="1:8" ht="15.75" customHeight="1" x14ac:dyDescent="0.2">
      <c r="B21" s="16" t="s">
        <v>94</v>
      </c>
      <c r="C21" s="54">
        <v>0.10187474331265201</v>
      </c>
      <c r="D21" s="54">
        <v>0.10187474331265201</v>
      </c>
      <c r="E21" s="54">
        <v>0.10187474331265201</v>
      </c>
      <c r="F21" s="54">
        <v>0.10187474331265201</v>
      </c>
    </row>
    <row r="22" spans="1:8" ht="15.75" customHeight="1" x14ac:dyDescent="0.2">
      <c r="B22" s="16" t="s">
        <v>95</v>
      </c>
      <c r="C22" s="54">
        <v>0.33810517554234421</v>
      </c>
      <c r="D22" s="54">
        <v>0.33810517554234421</v>
      </c>
      <c r="E22" s="54">
        <v>0.33810517554234421</v>
      </c>
      <c r="F22" s="54">
        <v>0.33810517554234421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3.5999999999999997E-2</v>
      </c>
    </row>
    <row r="27" spans="1:8" ht="15.75" customHeight="1" x14ac:dyDescent="0.2">
      <c r="B27" s="16" t="s">
        <v>102</v>
      </c>
      <c r="C27" s="54">
        <v>5.3E-3</v>
      </c>
    </row>
    <row r="28" spans="1:8" ht="15.75" customHeight="1" x14ac:dyDescent="0.2">
      <c r="B28" s="16" t="s">
        <v>103</v>
      </c>
      <c r="C28" s="54">
        <v>0.1502</v>
      </c>
    </row>
    <row r="29" spans="1:8" ht="15.75" customHeight="1" x14ac:dyDescent="0.2">
      <c r="B29" s="16" t="s">
        <v>104</v>
      </c>
      <c r="C29" s="54">
        <v>0.1235</v>
      </c>
    </row>
    <row r="30" spans="1:8" ht="15.75" customHeight="1" x14ac:dyDescent="0.2">
      <c r="B30" s="16" t="s">
        <v>2</v>
      </c>
      <c r="C30" s="54">
        <v>8.8000000000000009E-2</v>
      </c>
    </row>
    <row r="31" spans="1:8" ht="15.75" customHeight="1" x14ac:dyDescent="0.2">
      <c r="B31" s="16" t="s">
        <v>105</v>
      </c>
      <c r="C31" s="54">
        <v>8.5800000000000001E-2</v>
      </c>
    </row>
    <row r="32" spans="1:8" ht="15.75" customHeight="1" x14ac:dyDescent="0.2">
      <c r="B32" s="16" t="s">
        <v>106</v>
      </c>
      <c r="C32" s="54">
        <v>9.7999999999999997E-3</v>
      </c>
    </row>
    <row r="33" spans="2:3" ht="15.75" customHeight="1" x14ac:dyDescent="0.2">
      <c r="B33" s="16" t="s">
        <v>107</v>
      </c>
      <c r="C33" s="54">
        <v>0.1179</v>
      </c>
    </row>
    <row r="34" spans="2:3" ht="15.75" customHeight="1" x14ac:dyDescent="0.2">
      <c r="B34" s="16" t="s">
        <v>108</v>
      </c>
      <c r="C34" s="54">
        <v>0.38350000000223522</v>
      </c>
    </row>
    <row r="35" spans="2:3" ht="15.75" customHeight="1" x14ac:dyDescent="0.2">
      <c r="B35" s="24" t="s">
        <v>41</v>
      </c>
      <c r="C35" s="50">
        <f>SUM(C26:C34)</f>
        <v>1.0000000000022353</v>
      </c>
    </row>
  </sheetData>
  <sheetProtection algorithmName="SHA-512" hashValue="8a2fJUIKiqY4/vKHhOasKChL+pYWPmz7030BulhHDmBh13OEjk9hsIhmG+yxrikvw8hlkeuhKAeKTRt1S7IUQw==" saltValue="eh59gRNGM60MBEYk4IQg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0.65427627999999993</v>
      </c>
      <c r="D2" s="55">
        <v>0.65427627999999993</v>
      </c>
      <c r="E2" s="55">
        <v>0.58082455</v>
      </c>
      <c r="F2" s="55">
        <v>0.33763176</v>
      </c>
      <c r="G2" s="55">
        <v>0.37854904</v>
      </c>
    </row>
    <row r="3" spans="1:15" ht="15.75" customHeight="1" x14ac:dyDescent="0.2">
      <c r="B3" s="7" t="s">
        <v>113</v>
      </c>
      <c r="C3" s="55">
        <v>0.22998043000000001</v>
      </c>
      <c r="D3" s="55">
        <v>0.22998043000000001</v>
      </c>
      <c r="E3" s="55">
        <v>0.30327574000000002</v>
      </c>
      <c r="F3" s="55">
        <v>0.36072384000000002</v>
      </c>
      <c r="G3" s="55">
        <v>0.36904441999999998</v>
      </c>
    </row>
    <row r="4" spans="1:15" ht="15.75" customHeight="1" x14ac:dyDescent="0.2">
      <c r="B4" s="7" t="s">
        <v>114</v>
      </c>
      <c r="C4" s="56">
        <v>8.6150818000000004E-2</v>
      </c>
      <c r="D4" s="56">
        <v>8.6150818000000004E-2</v>
      </c>
      <c r="E4" s="56">
        <v>9.2486458000000007E-2</v>
      </c>
      <c r="F4" s="56">
        <v>0.20753373999999999</v>
      </c>
      <c r="G4" s="56">
        <v>0.19701047999999999</v>
      </c>
    </row>
    <row r="5" spans="1:15" ht="15.75" customHeight="1" x14ac:dyDescent="0.2">
      <c r="B5" s="7" t="s">
        <v>115</v>
      </c>
      <c r="C5" s="56">
        <v>2.9592485000000002E-2</v>
      </c>
      <c r="D5" s="56">
        <v>2.9592485000000002E-2</v>
      </c>
      <c r="E5" s="56">
        <v>2.3413264999999999E-2</v>
      </c>
      <c r="F5" s="56">
        <v>9.4110669999999993E-2</v>
      </c>
      <c r="G5" s="56">
        <v>5.5396046999999997E-2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0.8374307299999999</v>
      </c>
      <c r="D8" s="55">
        <v>0.8374307299999999</v>
      </c>
      <c r="E8" s="55">
        <v>0.82880814000000003</v>
      </c>
      <c r="F8" s="55">
        <v>0.78037353999999992</v>
      </c>
      <c r="G8" s="55">
        <v>0.84677147000000008</v>
      </c>
    </row>
    <row r="9" spans="1:15" ht="15.75" customHeight="1" x14ac:dyDescent="0.2">
      <c r="B9" s="7" t="s">
        <v>118</v>
      </c>
      <c r="C9" s="55">
        <v>0.12782847999999999</v>
      </c>
      <c r="D9" s="55">
        <v>0.12782847999999999</v>
      </c>
      <c r="E9" s="55">
        <v>0.13019483000000001</v>
      </c>
      <c r="F9" s="55">
        <v>0.17571917000000001</v>
      </c>
      <c r="G9" s="55">
        <v>0.13214471999999999</v>
      </c>
    </row>
    <row r="10" spans="1:15" ht="15.75" customHeight="1" x14ac:dyDescent="0.2">
      <c r="B10" s="7" t="s">
        <v>119</v>
      </c>
      <c r="C10" s="56">
        <v>2.6199343E-2</v>
      </c>
      <c r="D10" s="56">
        <v>2.6199343E-2</v>
      </c>
      <c r="E10" s="56">
        <v>3.6626793999999997E-2</v>
      </c>
      <c r="F10" s="56">
        <v>3.9041571999999997E-2</v>
      </c>
      <c r="G10" s="56">
        <v>1.9322617E-2</v>
      </c>
    </row>
    <row r="11" spans="1:15" ht="15.75" customHeight="1" x14ac:dyDescent="0.2">
      <c r="B11" s="7" t="s">
        <v>120</v>
      </c>
      <c r="C11" s="56">
        <v>8.5414684000000001E-3</v>
      </c>
      <c r="D11" s="56">
        <v>8.5414684000000001E-3</v>
      </c>
      <c r="E11" s="56">
        <v>4.3702688999999999E-3</v>
      </c>
      <c r="F11" s="56">
        <v>4.8656970000000004E-3</v>
      </c>
      <c r="G11" s="56">
        <v>1.7611757E-3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0.76416372425000001</v>
      </c>
      <c r="D14" s="57">
        <v>0.73473477243899987</v>
      </c>
      <c r="E14" s="57">
        <v>0.73473477243899987</v>
      </c>
      <c r="F14" s="57">
        <v>0.43763231825400001</v>
      </c>
      <c r="G14" s="57">
        <v>0.43763231825400001</v>
      </c>
      <c r="H14" s="58">
        <v>0.67400000000000004</v>
      </c>
      <c r="I14" s="58">
        <v>0.32729477611940289</v>
      </c>
      <c r="J14" s="58">
        <v>0.31617910447761188</v>
      </c>
      <c r="K14" s="58">
        <v>0.33223507462686558</v>
      </c>
      <c r="L14" s="58">
        <v>0.254515929413</v>
      </c>
      <c r="M14" s="58">
        <v>0.21863517472899999</v>
      </c>
      <c r="N14" s="58">
        <v>0.2257161932915</v>
      </c>
      <c r="O14" s="58">
        <v>0.266368620045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0.32585447444074428</v>
      </c>
      <c r="D15" s="55">
        <f t="shared" si="0"/>
        <v>0.31330538931487384</v>
      </c>
      <c r="E15" s="55">
        <f t="shared" si="0"/>
        <v>0.31330538931487384</v>
      </c>
      <c r="F15" s="55">
        <f t="shared" si="0"/>
        <v>0.18661504666804618</v>
      </c>
      <c r="G15" s="55">
        <f t="shared" si="0"/>
        <v>0.18661504666804618</v>
      </c>
      <c r="H15" s="55">
        <f t="shared" si="0"/>
        <v>0.2874068852046292</v>
      </c>
      <c r="I15" s="55">
        <f t="shared" si="0"/>
        <v>0.13956494384009502</v>
      </c>
      <c r="J15" s="55">
        <f t="shared" si="0"/>
        <v>0.13482500235118614</v>
      </c>
      <c r="K15" s="55">
        <f t="shared" si="0"/>
        <v>0.14167158450183229</v>
      </c>
      <c r="L15" s="55">
        <f t="shared" si="0"/>
        <v>0.10853060906164926</v>
      </c>
      <c r="M15" s="55">
        <f t="shared" si="0"/>
        <v>9.3230348019334927E-2</v>
      </c>
      <c r="N15" s="55">
        <f t="shared" si="0"/>
        <v>9.6249833908243376E-2</v>
      </c>
      <c r="O15" s="55">
        <f t="shared" si="0"/>
        <v>0.11358482997535431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9VbS33lU+m+wJ/l/ZkoYaPiMQw2XZRHE5Jowh/qeSQdpCRpmbTtkdg6Toe0sR0emVvHWRVas2qAO/3j9BKiW9A==" saltValue="f7VC73DTDBRmK3lFb+ww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0.73495160000000004</v>
      </c>
      <c r="D2" s="56">
        <v>0.33603460000000002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0.1755929</v>
      </c>
      <c r="D3" s="56">
        <v>0.26254559999999999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8.3792329999999998E-2</v>
      </c>
      <c r="D4" s="56">
        <v>0.38363609999999998</v>
      </c>
      <c r="E4" s="56">
        <v>0.96779066324233998</v>
      </c>
      <c r="F4" s="56">
        <v>0.54731041193008401</v>
      </c>
      <c r="G4" s="56">
        <v>0</v>
      </c>
    </row>
    <row r="5" spans="1:7" x14ac:dyDescent="0.2">
      <c r="B5" s="98" t="s">
        <v>132</v>
      </c>
      <c r="C5" s="55">
        <v>5.6631699999999804E-3</v>
      </c>
      <c r="D5" s="55">
        <v>1.77837E-2</v>
      </c>
      <c r="E5" s="55">
        <v>3.2209336757660051E-2</v>
      </c>
      <c r="F5" s="55">
        <v>0.45268958806991599</v>
      </c>
      <c r="G5" s="55">
        <v>1</v>
      </c>
    </row>
  </sheetData>
  <sheetProtection algorithmName="SHA-512" hashValue="klWUZDexgZ1YJnNjUaaT9b2caDU028Y6QSTherHTr/3yAjgoEd8aJ9CPu2EvEtS3sqaKFwaNSBY26DLx+uK7AQ==" saltValue="fdQo55eroT8rtftyL93u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3hZu0A1fBqRLijQiWEz33j6ZVQQBlyniTEnXvdzdVoNsbHqlXJBn8qYVg2V+8+MWhhT4SjZOkGd9yqjMhIeMww==" saltValue="TcvJJu0gVgLwkQppaOCW3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NGBzcO9zL7LhaHYx2wGp05ZUjGQ7OkpdL1w0eoqo/a8X6AoxDOcjvDTLb653+KYJtp3vZgZhE5qjer3Mog8VDA==" saltValue="150qIQ3Uq37SIEdO+Bdql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gAdyK4fOa8OCf0rrWDaeeto0reGu+gGAc6OtWky7lyrEQ44uWi1TtQKacgAQ7ZM+I0gxuCW0V5awp4p7OvstfA==" saltValue="JuqGUyfFVZtWudkMBGCU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18FfFp67Gj0/PtreGcgvtJNH+QRbsKSejXbBnRXKRQ1iE05ODTFNxpApjMhUDLLWdRqv0Qohadsa3zC/ALITNQ==" saltValue="jJFUVR+xzevXMgBcREpu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2022-02-02T09:08:11Z</dcterms:modified>
</cp:coreProperties>
</file>