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05F1A498-4466-574F-8FF4-E3AFABB3E6C4}" xr6:coauthVersionLast="31" xr6:coauthVersionMax="31" xr10:uidLastSave="{00000000-0000-0000-0000-000000000000}"/>
  <bookViews>
    <workbookView xWindow="12800" yWindow="460" windowWidth="12800" windowHeight="15540" tabRatio="500" firstSheet="30" activeTab="31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2" i="5"/>
  <c r="G3" i="5" s="1"/>
  <c r="F2" i="5"/>
  <c r="F3" i="5" s="1"/>
  <c r="E2" i="5"/>
  <c r="E3" i="5" s="1"/>
  <c r="D2" i="5"/>
  <c r="D3" i="5" s="1"/>
  <c r="C2" i="5"/>
  <c r="C3" i="5" s="1"/>
  <c r="G8" i="5"/>
  <c r="G9" i="5" s="1"/>
  <c r="F8" i="5"/>
  <c r="F9" i="5" s="1"/>
  <c r="E8" i="5"/>
  <c r="E9" i="5" s="1"/>
  <c r="D8" i="5"/>
  <c r="D9" i="5" s="1"/>
  <c r="C8" i="5"/>
  <c r="C9" i="5" s="1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1" i="1" s="1"/>
  <c r="C48" i="1"/>
  <c r="C42" i="1" s="1"/>
  <c r="C49" i="1"/>
  <c r="C43" i="1" s="1"/>
  <c r="C46" i="1"/>
  <c r="C40" i="1" s="1"/>
  <c r="C3" i="35" l="1"/>
  <c r="C4" i="35"/>
  <c r="C5" i="35"/>
  <c r="C6" i="35"/>
  <c r="N36" i="21"/>
  <c r="M36" i="21"/>
  <c r="O36" i="21"/>
  <c r="L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O3" i="29" s="1"/>
  <c r="K26" i="46" s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K3" i="29"/>
  <c r="K22" i="46" s="1"/>
  <c r="D3" i="29"/>
  <c r="C3" i="29"/>
  <c r="K14" i="46" s="1"/>
  <c r="D40" i="20"/>
  <c r="C2" i="29" l="1"/>
  <c r="D2" i="29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H8" i="2"/>
  <c r="J8" i="2" s="1"/>
  <c r="H9" i="2"/>
  <c r="H10" i="2"/>
  <c r="H11" i="2"/>
  <c r="J11" i="2" s="1"/>
  <c r="H12" i="2"/>
  <c r="J12" i="2" s="1"/>
  <c r="H13" i="2"/>
  <c r="H14" i="2"/>
  <c r="H15" i="2"/>
  <c r="H2" i="2"/>
  <c r="J2" i="2" s="1"/>
  <c r="I3" i="2"/>
  <c r="K3" i="2" s="1"/>
  <c r="I4" i="2"/>
  <c r="I5" i="2"/>
  <c r="I6" i="2"/>
  <c r="K6" i="2" s="1"/>
  <c r="I7" i="2"/>
  <c r="I8" i="2"/>
  <c r="I9" i="2"/>
  <c r="I10" i="2"/>
  <c r="K10" i="2" s="1"/>
  <c r="I11" i="2"/>
  <c r="K11" i="2" s="1"/>
  <c r="I12" i="2"/>
  <c r="I13" i="2"/>
  <c r="I14" i="2"/>
  <c r="K14" i="2" s="1"/>
  <c r="I15" i="2"/>
  <c r="I2" i="2"/>
  <c r="J3" i="2"/>
  <c r="J6" i="2"/>
  <c r="J10" i="2"/>
  <c r="J14" i="2"/>
  <c r="K7" i="2" l="1"/>
  <c r="K9" i="2"/>
  <c r="K15" i="2"/>
  <c r="J7" i="2"/>
  <c r="K4" i="2"/>
  <c r="J15" i="2"/>
  <c r="D6" i="20"/>
  <c r="K2" i="2"/>
  <c r="K8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BFD30098-60E7-C042-89E3-32476E37CA8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1AB505E3-8257-DD4A-AE13-77E6781D093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<sst xmlns="http://schemas.openxmlformats.org/spreadsheetml/2006/main" count="1408" uniqueCount="274">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</sst>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3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37" fillId="0" borderId="0" xfId="0" applyFont="1" applyAlignment="1"/>
    <xf numFmtId="0" fontId="38" fillId="0" borderId="0" xfId="0" applyFont="1" applyAlignment="1"/>
    <xf numFmtId="0" fontId="39" fillId="0" borderId="0" xfId="0" applyFont="1" applyAlignment="1"/>
    <xf numFmtId="0" fontId="40" fillId="0" borderId="0" xfId="0" applyFont="1" applyAlignment="1"/>
    <xf numFmtId="3" fontId="38" fillId="2" borderId="1" xfId="0" applyNumberFormat="1" applyFont="1" applyFill="1" applyBorder="1" applyAlignment="1"/>
    <xf numFmtId="0" fontId="40" fillId="0" borderId="0" xfId="0" applyFont="1" applyFill="1" applyBorder="1" applyAlignment="1"/>
    <xf numFmtId="3" fontId="38" fillId="5" borderId="1" xfId="9" applyNumberFormat="1" applyFont="1" applyFill="1" applyBorder="1" applyAlignment="1"/>
    <xf numFmtId="0" fontId="38" fillId="2" borderId="1" xfId="0" applyFont="1" applyFill="1" applyBorder="1" applyAlignment="1"/>
    <xf numFmtId="165" fontId="38" fillId="2" borderId="1" xfId="0" applyNumberFormat="1" applyFont="1" applyFill="1" applyBorder="1" applyAlignment="1"/>
    <xf numFmtId="0" fontId="38" fillId="5" borderId="0" xfId="0" applyFont="1" applyFill="1" applyAlignment="1"/>
    <xf numFmtId="0" fontId="38" fillId="6" borderId="0" xfId="0" applyFont="1" applyFill="1" applyAlignment="1"/>
    <xf numFmtId="0" fontId="38" fillId="0" borderId="0" xfId="0" applyFont="1" applyFill="1" applyBorder="1" applyAlignment="1"/>
    <xf numFmtId="0" fontId="38" fillId="0" borderId="0" xfId="0" applyFont="1" applyFill="1" applyAlignment="1"/>
    <xf numFmtId="0" fontId="1" fillId="0" borderId="0" xfId="0" applyFont="1"/>
    <xf numFmtId="43" fontId="38" fillId="0" borderId="0" xfId="0" applyNumberFormat="1" applyFont="1" applyAlignment="1"/>
    <xf numFmtId="164" fontId="38" fillId="0" borderId="0" xfId="0" applyNumberFormat="1" applyFont="1" applyAlignment="1"/>
    <xf numFmtId="164" fontId="38" fillId="0" borderId="0" xfId="10" applyNumberFormat="1" applyFont="1" applyFill="1" applyBorder="1" applyAlignment="1"/>
    <xf numFmtId="0" fontId="38" fillId="5" borderId="1" xfId="0" applyFont="1" applyFill="1" applyBorder="1" applyAlignment="1"/>
    <xf numFmtId="164" fontId="38" fillId="5" borderId="1" xfId="10" applyNumberFormat="1" applyFont="1" applyFill="1" applyBorder="1" applyAlignment="1"/>
    <xf numFmtId="167" fontId="38" fillId="5" borderId="1" xfId="10" applyNumberFormat="1" applyFont="1" applyFill="1" applyBorder="1" applyAlignment="1"/>
    <xf numFmtId="2" fontId="38" fillId="2" borderId="1" xfId="0" applyNumberFormat="1" applyFont="1" applyFill="1" applyBorder="1" applyAlignment="1"/>
    <xf numFmtId="3" fontId="38" fillId="2" borderId="1" xfId="9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59671FAD-1A1F-914C-84B3-D0DFA9FCBF07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86AD-B750-244C-940A-032907BA5CE4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9" bestFit="1" customWidth="1"/>
    <col min="2" max="2" width="14.83203125" style="159" bestFit="1" customWidth="1"/>
    <col min="3" max="16384" width="10.83203125" style="159"/>
  </cols>
  <sheetData>
    <row r="1" spans="1:2" x14ac:dyDescent="0.15">
      <c r="A1" s="158" t="s">
        <v>253</v>
      </c>
      <c r="B1" s="158" t="s">
        <v>271</v>
      </c>
    </row>
    <row r="2" spans="1:2" x14ac:dyDescent="0.15">
      <c r="A2" s="158" t="s">
        <v>272</v>
      </c>
      <c r="B2" s="161">
        <v>378379.0459090909</v>
      </c>
    </row>
    <row r="3" spans="1:2" x14ac:dyDescent="0.15">
      <c r="A3" s="158" t="s">
        <v>273</v>
      </c>
      <c r="B3" s="160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topLeftCell="A25" zoomScale="80" zoomScaleNormal="80" workbookViewId="0">
      <selection activeCell="F58" sqref="F58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6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33">
        <f>1-D2-E2-F2</f>
        <v>0.686174418604651</v>
      </c>
      <c r="D2" s="134">
        <v>0.18268313953488374</v>
      </c>
      <c r="E2" s="134">
        <v>0.11006802325581397</v>
      </c>
      <c r="F2" s="134">
        <v>2.1074418604651163E-2</v>
      </c>
    </row>
    <row r="3" spans="1:6" ht="15.75" customHeight="1" x14ac:dyDescent="0.15">
      <c r="A3" s="10"/>
      <c r="C3" s="123"/>
      <c r="D3" s="124"/>
      <c r="E3" s="124"/>
      <c r="F3" s="124"/>
    </row>
    <row r="4" spans="1:6" ht="15.75" customHeight="1" x14ac:dyDescent="0.15">
      <c r="A4" s="10"/>
      <c r="C4" s="123"/>
      <c r="D4" s="124"/>
      <c r="E4" s="124"/>
      <c r="F4" s="124"/>
    </row>
    <row r="5" spans="1:6" ht="15.75" customHeight="1" x14ac:dyDescent="0.15">
      <c r="A5" s="10" t="s">
        <v>226</v>
      </c>
      <c r="B5" t="s">
        <v>263</v>
      </c>
      <c r="C5" s="21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2">
        <v>1</v>
      </c>
      <c r="D7" s="32">
        <v>2.52</v>
      </c>
      <c r="E7" s="32">
        <v>1.96</v>
      </c>
      <c r="F7" s="32">
        <v>4.1900000000000004</v>
      </c>
    </row>
    <row r="8" spans="1:6" ht="15.75" customHeight="1" x14ac:dyDescent="0.2">
      <c r="B8" t="s">
        <v>144</v>
      </c>
      <c r="C8" s="32">
        <v>1</v>
      </c>
      <c r="D8" s="32">
        <v>2.52</v>
      </c>
      <c r="E8" s="32">
        <v>1.96</v>
      </c>
      <c r="F8" s="32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6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0" t="s">
        <v>188</v>
      </c>
      <c r="C23" s="63">
        <v>1</v>
      </c>
      <c r="D23" s="63">
        <v>1.52</v>
      </c>
      <c r="E23" s="63">
        <v>1.75</v>
      </c>
      <c r="F23" s="63">
        <v>3.14</v>
      </c>
      <c r="G23" s="64"/>
    </row>
    <row r="24" spans="1:7" ht="15.75" customHeight="1" x14ac:dyDescent="0.15">
      <c r="B24" s="60" t="s">
        <v>189</v>
      </c>
      <c r="C24" s="63">
        <v>1</v>
      </c>
      <c r="D24" s="63">
        <v>1.2</v>
      </c>
      <c r="E24" s="63">
        <v>1.4</v>
      </c>
      <c r="F24" s="63">
        <v>1.6</v>
      </c>
      <c r="G24" s="64"/>
    </row>
    <row r="25" spans="1:7" ht="15.75" customHeight="1" x14ac:dyDescent="0.15">
      <c r="B25" s="60" t="s">
        <v>190</v>
      </c>
      <c r="C25" s="63">
        <v>1</v>
      </c>
      <c r="D25" s="63">
        <v>1.2</v>
      </c>
      <c r="E25" s="63">
        <v>1.4</v>
      </c>
      <c r="F25" s="63">
        <v>1.6</v>
      </c>
      <c r="G25" s="64"/>
    </row>
    <row r="26" spans="1:7" ht="15.75" customHeight="1" x14ac:dyDescent="0.15">
      <c r="B26" s="61" t="s">
        <v>191</v>
      </c>
      <c r="C26" s="63">
        <v>1</v>
      </c>
      <c r="D26" s="63">
        <v>1.52</v>
      </c>
      <c r="E26" s="63">
        <v>1.75</v>
      </c>
      <c r="F26" s="63">
        <v>1.73</v>
      </c>
      <c r="G26" s="64"/>
    </row>
    <row r="27" spans="1:7" ht="15.75" customHeight="1" x14ac:dyDescent="0.15">
      <c r="B27" s="61" t="s">
        <v>192</v>
      </c>
      <c r="C27" s="63">
        <v>1</v>
      </c>
      <c r="D27" s="63">
        <v>1</v>
      </c>
      <c r="E27" s="63">
        <v>1</v>
      </c>
      <c r="F27" s="63">
        <v>1</v>
      </c>
      <c r="G27" s="64"/>
    </row>
    <row r="28" spans="1:7" ht="15.75" customHeight="1" x14ac:dyDescent="0.15">
      <c r="B28" s="61" t="s">
        <v>193</v>
      </c>
      <c r="C28" s="63">
        <v>1</v>
      </c>
      <c r="D28" s="63">
        <v>1</v>
      </c>
      <c r="E28" s="63">
        <v>1</v>
      </c>
      <c r="F28" s="63">
        <v>1</v>
      </c>
      <c r="G28" s="64"/>
    </row>
    <row r="29" spans="1:7" ht="15.75" customHeight="1" x14ac:dyDescent="0.15">
      <c r="B29" s="62" t="s">
        <v>194</v>
      </c>
      <c r="C29" s="63">
        <v>1</v>
      </c>
      <c r="D29" s="63">
        <v>1.52</v>
      </c>
      <c r="E29" s="63">
        <v>1.75</v>
      </c>
      <c r="F29" s="63">
        <v>1.52</v>
      </c>
      <c r="G29" s="64"/>
    </row>
    <row r="30" spans="1:7" ht="15.75" customHeight="1" x14ac:dyDescent="0.15">
      <c r="B30" s="62" t="s">
        <v>195</v>
      </c>
      <c r="C30" s="63">
        <v>1</v>
      </c>
      <c r="D30" s="63">
        <v>1</v>
      </c>
      <c r="E30" s="63">
        <v>1.33</v>
      </c>
      <c r="F30" s="63">
        <v>1</v>
      </c>
      <c r="G30" s="64"/>
    </row>
    <row r="31" spans="1:7" ht="15.75" customHeight="1" x14ac:dyDescent="0.15">
      <c r="B31" s="62" t="s">
        <v>196</v>
      </c>
      <c r="C31" s="63">
        <v>1</v>
      </c>
      <c r="D31" s="63">
        <v>1</v>
      </c>
      <c r="E31" s="63">
        <v>1.33</v>
      </c>
      <c r="F31" s="63">
        <v>1</v>
      </c>
      <c r="G31" s="64"/>
    </row>
    <row r="32" spans="1:7" ht="15.75" customHeight="1" x14ac:dyDescent="0.15">
      <c r="B32" s="59"/>
      <c r="C32" s="63"/>
      <c r="D32" s="63"/>
      <c r="E32" s="63"/>
      <c r="F32" s="63"/>
      <c r="G32" s="64"/>
    </row>
    <row r="33" spans="1:7" ht="15.75" customHeight="1" x14ac:dyDescent="0.15">
      <c r="C33" s="64"/>
      <c r="D33" s="64"/>
      <c r="E33" s="64"/>
      <c r="F33" s="64"/>
      <c r="G33" s="64"/>
    </row>
    <row r="34" spans="1:7" ht="15.75" customHeight="1" x14ac:dyDescent="0.15">
      <c r="B34" s="10"/>
      <c r="C34" s="65"/>
      <c r="D34" s="65"/>
      <c r="E34" s="65"/>
      <c r="F34" s="65"/>
      <c r="G34" s="64"/>
    </row>
    <row r="35" spans="1:7" ht="15.75" customHeight="1" x14ac:dyDescent="0.15">
      <c r="A35" s="10" t="s">
        <v>203</v>
      </c>
      <c r="B35" s="59" t="s">
        <v>184</v>
      </c>
      <c r="C35" s="63">
        <v>1</v>
      </c>
      <c r="D35" s="66">
        <v>1</v>
      </c>
      <c r="E35" s="66">
        <v>1</v>
      </c>
      <c r="F35" s="66">
        <v>1</v>
      </c>
      <c r="G35" s="64"/>
    </row>
    <row r="36" spans="1:7" ht="15.75" customHeight="1" x14ac:dyDescent="0.15">
      <c r="B36" s="59" t="s">
        <v>185</v>
      </c>
      <c r="C36" s="63">
        <v>1</v>
      </c>
      <c r="D36" s="66">
        <v>1.41</v>
      </c>
      <c r="E36" s="66">
        <v>1.49</v>
      </c>
      <c r="F36" s="66">
        <v>3.03</v>
      </c>
      <c r="G36" s="64"/>
    </row>
    <row r="37" spans="1:7" ht="15.75" customHeight="1" x14ac:dyDescent="0.15">
      <c r="B37" s="59" t="s">
        <v>186</v>
      </c>
      <c r="C37" s="63">
        <v>1</v>
      </c>
      <c r="D37" s="66">
        <v>1.18</v>
      </c>
      <c r="E37" s="66">
        <v>1.1000000000000001</v>
      </c>
      <c r="F37" s="66">
        <v>1.77</v>
      </c>
      <c r="G37" s="64"/>
    </row>
    <row r="38" spans="1:7" ht="15.75" customHeight="1" x14ac:dyDescent="0.15">
      <c r="B38" s="59" t="s">
        <v>187</v>
      </c>
      <c r="C38" s="63">
        <v>1</v>
      </c>
      <c r="D38" s="66">
        <v>1</v>
      </c>
      <c r="E38" s="66">
        <v>1</v>
      </c>
      <c r="F38" s="66">
        <v>1</v>
      </c>
      <c r="G38" s="6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4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4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4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4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4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37" t="s">
        <v>233</v>
      </c>
      <c r="B18" s="36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38"/>
      <c r="B19" s="36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27">
        <v>1</v>
      </c>
      <c r="D25" s="27">
        <v>1</v>
      </c>
      <c r="E25" s="27">
        <v>1</v>
      </c>
      <c r="F25" s="27">
        <v>1</v>
      </c>
      <c r="G25" s="2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4" t="s">
        <v>10</v>
      </c>
    </row>
    <row r="2" spans="1:10" x14ac:dyDescent="0.15">
      <c r="A2" s="10" t="s">
        <v>153</v>
      </c>
      <c r="B2" s="162" t="s">
        <v>72</v>
      </c>
      <c r="C2" t="s">
        <v>149</v>
      </c>
      <c r="D2" s="33">
        <v>1</v>
      </c>
      <c r="E2" s="33">
        <v>1</v>
      </c>
      <c r="F2" s="33">
        <v>1</v>
      </c>
      <c r="G2" s="33">
        <v>1</v>
      </c>
      <c r="H2" s="33">
        <v>1</v>
      </c>
    </row>
    <row r="3" spans="1:10" x14ac:dyDescent="0.15">
      <c r="B3" s="162"/>
      <c r="C3" t="s">
        <v>150</v>
      </c>
      <c r="D3" s="33">
        <v>1</v>
      </c>
      <c r="E3" s="33">
        <v>1</v>
      </c>
      <c r="F3" s="33">
        <v>1</v>
      </c>
      <c r="G3" s="33">
        <v>1</v>
      </c>
      <c r="H3" s="33">
        <v>1</v>
      </c>
      <c r="J3" s="33"/>
    </row>
    <row r="4" spans="1:10" x14ac:dyDescent="0.15">
      <c r="B4" s="162"/>
      <c r="C4" t="s">
        <v>160</v>
      </c>
      <c r="D4" s="33">
        <v>1</v>
      </c>
      <c r="E4" s="33">
        <v>1</v>
      </c>
      <c r="F4" s="33">
        <v>1</v>
      </c>
      <c r="G4" s="33">
        <v>1</v>
      </c>
      <c r="H4" s="33">
        <v>1</v>
      </c>
      <c r="J4" s="33"/>
    </row>
    <row r="5" spans="1:10" x14ac:dyDescent="0.15">
      <c r="B5" s="162" t="s">
        <v>6</v>
      </c>
      <c r="C5" t="s">
        <v>149</v>
      </c>
      <c r="D5" s="33">
        <v>5.16</v>
      </c>
      <c r="E5" s="33">
        <v>1</v>
      </c>
      <c r="F5" s="33">
        <v>1</v>
      </c>
      <c r="G5" s="33">
        <v>1</v>
      </c>
      <c r="H5" s="35">
        <v>1</v>
      </c>
    </row>
    <row r="6" spans="1:10" x14ac:dyDescent="0.15">
      <c r="B6" s="162"/>
      <c r="C6" t="s">
        <v>150</v>
      </c>
      <c r="D6" s="33">
        <v>5.16</v>
      </c>
      <c r="E6" s="33">
        <v>1</v>
      </c>
      <c r="F6" s="33">
        <v>1</v>
      </c>
      <c r="G6" s="33">
        <v>1</v>
      </c>
      <c r="H6" s="35">
        <v>1</v>
      </c>
    </row>
    <row r="7" spans="1:10" x14ac:dyDescent="0.15">
      <c r="B7" s="162"/>
      <c r="C7" t="s">
        <v>160</v>
      </c>
      <c r="D7" s="33">
        <v>1</v>
      </c>
      <c r="E7" s="33">
        <v>1</v>
      </c>
      <c r="F7" s="33">
        <v>1</v>
      </c>
      <c r="G7" s="33">
        <v>1</v>
      </c>
      <c r="H7" s="33">
        <v>1</v>
      </c>
    </row>
    <row r="8" spans="1:10" x14ac:dyDescent="0.15">
      <c r="B8" s="162" t="s">
        <v>7</v>
      </c>
      <c r="C8" t="s">
        <v>149</v>
      </c>
      <c r="D8" s="33">
        <v>1</v>
      </c>
      <c r="E8" s="33">
        <v>5.16</v>
      </c>
      <c r="F8" s="33">
        <v>1</v>
      </c>
      <c r="G8" s="33">
        <v>1</v>
      </c>
      <c r="H8" s="35">
        <v>1</v>
      </c>
    </row>
    <row r="9" spans="1:10" x14ac:dyDescent="0.15">
      <c r="B9" s="162"/>
      <c r="C9" t="s">
        <v>150</v>
      </c>
      <c r="D9" s="33">
        <v>1</v>
      </c>
      <c r="E9" s="33">
        <v>5.16</v>
      </c>
      <c r="F9" s="33">
        <v>1</v>
      </c>
      <c r="G9" s="33">
        <v>1</v>
      </c>
      <c r="H9" s="35">
        <v>1</v>
      </c>
    </row>
    <row r="10" spans="1:10" x14ac:dyDescent="0.15">
      <c r="B10" s="162"/>
      <c r="C10" t="s">
        <v>160</v>
      </c>
      <c r="D10" s="33">
        <v>1</v>
      </c>
      <c r="E10" s="33">
        <v>1</v>
      </c>
      <c r="F10" s="33">
        <v>1</v>
      </c>
      <c r="G10" s="33">
        <v>1</v>
      </c>
      <c r="H10" s="33">
        <v>1</v>
      </c>
    </row>
    <row r="11" spans="1:10" x14ac:dyDescent="0.15">
      <c r="B11" s="162" t="s">
        <v>8</v>
      </c>
      <c r="C11" t="s">
        <v>149</v>
      </c>
      <c r="D11" s="33">
        <v>1</v>
      </c>
      <c r="E11" s="33">
        <v>1</v>
      </c>
      <c r="F11" s="33">
        <v>1.82</v>
      </c>
      <c r="G11" s="33">
        <v>1</v>
      </c>
      <c r="H11" s="35">
        <v>1</v>
      </c>
    </row>
    <row r="12" spans="1:10" x14ac:dyDescent="0.15">
      <c r="B12" s="162"/>
      <c r="C12" t="s">
        <v>150</v>
      </c>
      <c r="D12" s="33">
        <v>1</v>
      </c>
      <c r="E12" s="33">
        <v>1</v>
      </c>
      <c r="F12" s="33">
        <v>1.82</v>
      </c>
      <c r="G12" s="33">
        <v>1</v>
      </c>
      <c r="H12" s="35">
        <v>1</v>
      </c>
    </row>
    <row r="13" spans="1:10" x14ac:dyDescent="0.15">
      <c r="B13" s="162"/>
      <c r="C13" t="s">
        <v>160</v>
      </c>
      <c r="D13" s="33">
        <v>1</v>
      </c>
      <c r="E13" s="33">
        <v>1</v>
      </c>
      <c r="F13" s="33">
        <v>1</v>
      </c>
      <c r="G13" s="33">
        <v>1</v>
      </c>
      <c r="H13" s="33">
        <v>1</v>
      </c>
    </row>
    <row r="14" spans="1:10" x14ac:dyDescent="0.15">
      <c r="B14" s="162" t="s">
        <v>9</v>
      </c>
      <c r="C14" t="s">
        <v>149</v>
      </c>
      <c r="D14" s="33">
        <v>1</v>
      </c>
      <c r="E14" s="33">
        <v>1</v>
      </c>
      <c r="F14" s="33">
        <v>1</v>
      </c>
      <c r="G14" s="33">
        <v>1.82</v>
      </c>
      <c r="H14" s="35">
        <v>1</v>
      </c>
    </row>
    <row r="15" spans="1:10" x14ac:dyDescent="0.15">
      <c r="B15" s="162"/>
      <c r="C15" t="s">
        <v>150</v>
      </c>
      <c r="D15" s="33">
        <v>1</v>
      </c>
      <c r="E15" s="33">
        <v>1</v>
      </c>
      <c r="F15" s="33">
        <v>1</v>
      </c>
      <c r="G15" s="33">
        <v>1.82</v>
      </c>
      <c r="H15" s="35">
        <v>1</v>
      </c>
    </row>
    <row r="16" spans="1:10" x14ac:dyDescent="0.15">
      <c r="B16" s="162"/>
      <c r="C16" t="s">
        <v>160</v>
      </c>
      <c r="D16" s="33">
        <v>1</v>
      </c>
      <c r="E16" s="33">
        <v>1</v>
      </c>
      <c r="F16" s="33">
        <v>1</v>
      </c>
      <c r="G16" s="33">
        <v>1</v>
      </c>
      <c r="H16" s="33">
        <v>1</v>
      </c>
    </row>
    <row r="17" spans="1:8" x14ac:dyDescent="0.15">
      <c r="B17" s="86" t="s">
        <v>94</v>
      </c>
      <c r="C17" t="s">
        <v>160</v>
      </c>
      <c r="D17" s="40">
        <v>1.05</v>
      </c>
      <c r="E17" s="40">
        <v>1.05</v>
      </c>
      <c r="F17" s="40">
        <v>1.05</v>
      </c>
      <c r="G17" s="40">
        <v>1.05</v>
      </c>
      <c r="H17" s="40">
        <v>1</v>
      </c>
    </row>
    <row r="18" spans="1:8" x14ac:dyDescent="0.15">
      <c r="D18" s="35"/>
      <c r="E18" s="35"/>
      <c r="F18" s="35"/>
      <c r="G18" s="35"/>
      <c r="H18" s="35"/>
    </row>
    <row r="19" spans="1:8" x14ac:dyDescent="0.15">
      <c r="A19" s="37" t="s">
        <v>154</v>
      </c>
      <c r="B19" s="162" t="s">
        <v>72</v>
      </c>
      <c r="C19" t="s">
        <v>149</v>
      </c>
      <c r="D19" s="33">
        <v>1</v>
      </c>
      <c r="E19" s="33">
        <v>1</v>
      </c>
      <c r="F19" s="33">
        <v>1</v>
      </c>
      <c r="G19" s="33">
        <v>1</v>
      </c>
      <c r="H19" s="33">
        <v>1</v>
      </c>
    </row>
    <row r="20" spans="1:8" x14ac:dyDescent="0.15">
      <c r="B20" s="162"/>
      <c r="C20" t="s">
        <v>150</v>
      </c>
      <c r="D20" s="33">
        <v>1</v>
      </c>
      <c r="E20" s="33">
        <v>1</v>
      </c>
      <c r="F20" s="33">
        <v>1</v>
      </c>
      <c r="G20" s="33">
        <v>1</v>
      </c>
      <c r="H20" s="33">
        <v>1</v>
      </c>
    </row>
    <row r="21" spans="1:8" x14ac:dyDescent="0.15">
      <c r="B21" s="162"/>
      <c r="C21" t="s">
        <v>160</v>
      </c>
      <c r="D21" s="33">
        <v>1</v>
      </c>
      <c r="E21" s="33">
        <v>1</v>
      </c>
      <c r="F21" s="33">
        <v>1</v>
      </c>
      <c r="G21" s="33">
        <v>1</v>
      </c>
      <c r="H21" s="33">
        <v>1</v>
      </c>
    </row>
    <row r="22" spans="1:8" x14ac:dyDescent="0.15">
      <c r="B22" s="162" t="s">
        <v>6</v>
      </c>
      <c r="C22" t="s">
        <v>149</v>
      </c>
      <c r="D22" s="33">
        <v>1</v>
      </c>
      <c r="E22" s="33">
        <v>1</v>
      </c>
      <c r="F22" s="33">
        <v>1</v>
      </c>
      <c r="G22" s="33">
        <v>1</v>
      </c>
      <c r="H22" s="33">
        <v>1</v>
      </c>
    </row>
    <row r="23" spans="1:8" x14ac:dyDescent="0.15">
      <c r="B23" s="162"/>
      <c r="C23" t="s">
        <v>150</v>
      </c>
      <c r="D23" s="33">
        <v>1</v>
      </c>
      <c r="E23" s="33">
        <v>1</v>
      </c>
      <c r="F23" s="33">
        <v>1</v>
      </c>
      <c r="G23" s="33">
        <v>1</v>
      </c>
      <c r="H23" s="33">
        <v>1</v>
      </c>
    </row>
    <row r="24" spans="1:8" x14ac:dyDescent="0.15">
      <c r="B24" s="162"/>
      <c r="C24" t="s">
        <v>160</v>
      </c>
      <c r="D24" s="33">
        <v>1</v>
      </c>
      <c r="E24" s="33">
        <v>1</v>
      </c>
      <c r="F24" s="33">
        <v>1</v>
      </c>
      <c r="G24" s="33">
        <v>1</v>
      </c>
      <c r="H24" s="33">
        <v>1</v>
      </c>
    </row>
    <row r="25" spans="1:8" x14ac:dyDescent="0.15">
      <c r="B25" s="162" t="s">
        <v>7</v>
      </c>
      <c r="C25" t="s">
        <v>149</v>
      </c>
      <c r="D25" s="33">
        <v>1</v>
      </c>
      <c r="E25" s="33">
        <v>1</v>
      </c>
      <c r="F25" s="33">
        <v>1</v>
      </c>
      <c r="G25" s="33">
        <v>1</v>
      </c>
      <c r="H25" s="33">
        <v>1</v>
      </c>
    </row>
    <row r="26" spans="1:8" x14ac:dyDescent="0.15">
      <c r="B26" s="162"/>
      <c r="C26" t="s">
        <v>150</v>
      </c>
      <c r="D26" s="33">
        <v>1</v>
      </c>
      <c r="E26" s="33">
        <v>1</v>
      </c>
      <c r="F26" s="33">
        <v>1</v>
      </c>
      <c r="G26" s="33">
        <v>1</v>
      </c>
      <c r="H26" s="33">
        <v>1</v>
      </c>
    </row>
    <row r="27" spans="1:8" x14ac:dyDescent="0.15">
      <c r="B27" s="162"/>
      <c r="C27" t="s">
        <v>160</v>
      </c>
      <c r="D27" s="33">
        <v>1</v>
      </c>
      <c r="E27" s="33">
        <v>1</v>
      </c>
      <c r="F27" s="33">
        <v>1</v>
      </c>
      <c r="G27" s="33">
        <v>1</v>
      </c>
      <c r="H27" s="33">
        <v>1</v>
      </c>
    </row>
    <row r="28" spans="1:8" x14ac:dyDescent="0.15">
      <c r="B28" s="162" t="s">
        <v>8</v>
      </c>
      <c r="C28" t="s">
        <v>149</v>
      </c>
      <c r="D28" s="33">
        <v>1</v>
      </c>
      <c r="E28" s="33">
        <v>1</v>
      </c>
      <c r="F28" s="33">
        <v>1.82</v>
      </c>
      <c r="G28" s="33">
        <v>1</v>
      </c>
      <c r="H28" s="33">
        <v>1</v>
      </c>
    </row>
    <row r="29" spans="1:8" x14ac:dyDescent="0.15">
      <c r="B29" s="162"/>
      <c r="C29" t="s">
        <v>150</v>
      </c>
      <c r="D29" s="33">
        <v>1</v>
      </c>
      <c r="E29" s="33">
        <v>1</v>
      </c>
      <c r="F29" s="33">
        <v>1.82</v>
      </c>
      <c r="G29" s="33">
        <v>1</v>
      </c>
      <c r="H29" s="33">
        <v>1</v>
      </c>
    </row>
    <row r="30" spans="1:8" x14ac:dyDescent="0.15">
      <c r="B30" s="162"/>
      <c r="C30" t="s">
        <v>160</v>
      </c>
      <c r="D30" s="33">
        <v>1</v>
      </c>
      <c r="E30" s="33">
        <v>1</v>
      </c>
      <c r="F30" s="33">
        <v>1</v>
      </c>
      <c r="G30" s="33">
        <v>1</v>
      </c>
      <c r="H30" s="33">
        <v>1</v>
      </c>
    </row>
    <row r="31" spans="1:8" x14ac:dyDescent="0.15">
      <c r="B31" s="162" t="s">
        <v>9</v>
      </c>
      <c r="C31" t="s">
        <v>149</v>
      </c>
      <c r="D31" s="33">
        <v>1</v>
      </c>
      <c r="E31" s="33">
        <v>1</v>
      </c>
      <c r="F31" s="33">
        <v>1</v>
      </c>
      <c r="G31" s="33">
        <v>1.82</v>
      </c>
      <c r="H31" s="33">
        <v>1</v>
      </c>
    </row>
    <row r="32" spans="1:8" x14ac:dyDescent="0.15">
      <c r="B32" s="162"/>
      <c r="C32" t="s">
        <v>150</v>
      </c>
      <c r="D32" s="33">
        <v>1</v>
      </c>
      <c r="E32" s="33">
        <v>1</v>
      </c>
      <c r="F32" s="33">
        <v>1</v>
      </c>
      <c r="G32" s="33">
        <v>1.82</v>
      </c>
      <c r="H32" s="33">
        <v>1</v>
      </c>
    </row>
    <row r="33" spans="1:9" x14ac:dyDescent="0.15">
      <c r="B33" s="162"/>
      <c r="C33" t="s">
        <v>160</v>
      </c>
      <c r="D33" s="33">
        <v>1</v>
      </c>
      <c r="E33" s="33">
        <v>1</v>
      </c>
      <c r="F33" s="33">
        <v>1</v>
      </c>
      <c r="G33" s="33">
        <v>1</v>
      </c>
      <c r="H33" s="33">
        <v>1</v>
      </c>
    </row>
    <row r="34" spans="1:9" x14ac:dyDescent="0.15">
      <c r="B34" s="39" t="s">
        <v>94</v>
      </c>
      <c r="C34" t="s">
        <v>160</v>
      </c>
      <c r="D34" s="40">
        <v>1.05</v>
      </c>
      <c r="E34" s="40">
        <v>1.05</v>
      </c>
      <c r="F34" s="40">
        <v>1.05</v>
      </c>
      <c r="G34" s="40">
        <v>1.05</v>
      </c>
      <c r="H34" s="40">
        <v>1</v>
      </c>
    </row>
    <row r="36" spans="1:9" x14ac:dyDescent="0.15">
      <c r="A36" s="10" t="s">
        <v>183</v>
      </c>
      <c r="B36" s="162" t="s">
        <v>72</v>
      </c>
      <c r="C36" t="s">
        <v>149</v>
      </c>
      <c r="D36" s="33">
        <v>1</v>
      </c>
      <c r="E36" s="33">
        <v>1</v>
      </c>
      <c r="F36" s="33">
        <v>1</v>
      </c>
      <c r="G36" s="33">
        <v>1</v>
      </c>
      <c r="H36" s="33">
        <v>1</v>
      </c>
    </row>
    <row r="37" spans="1:9" x14ac:dyDescent="0.15">
      <c r="B37" s="162"/>
      <c r="C37" t="s">
        <v>150</v>
      </c>
      <c r="D37" s="33">
        <v>1</v>
      </c>
      <c r="E37" s="33">
        <v>1</v>
      </c>
      <c r="F37" s="33">
        <v>1</v>
      </c>
      <c r="G37" s="33">
        <v>1</v>
      </c>
      <c r="H37" s="33">
        <v>1</v>
      </c>
    </row>
    <row r="38" spans="1:9" x14ac:dyDescent="0.15">
      <c r="B38" s="162"/>
      <c r="C38" t="s">
        <v>160</v>
      </c>
      <c r="D38" s="33">
        <v>1</v>
      </c>
      <c r="E38" s="33">
        <v>1</v>
      </c>
      <c r="F38" s="33">
        <v>1</v>
      </c>
      <c r="G38" s="33">
        <v>1</v>
      </c>
      <c r="H38" s="33">
        <v>1</v>
      </c>
      <c r="I38" s="33"/>
    </row>
    <row r="39" spans="1:9" x14ac:dyDescent="0.15">
      <c r="B39" s="162" t="s">
        <v>6</v>
      </c>
      <c r="C39" t="s">
        <v>149</v>
      </c>
      <c r="D39" s="33">
        <v>1</v>
      </c>
      <c r="E39" s="33">
        <v>1</v>
      </c>
      <c r="F39" s="33">
        <v>1</v>
      </c>
      <c r="G39" s="33">
        <v>1</v>
      </c>
      <c r="H39" s="33">
        <v>1</v>
      </c>
    </row>
    <row r="40" spans="1:9" x14ac:dyDescent="0.15">
      <c r="B40" s="162"/>
      <c r="C40" t="s">
        <v>150</v>
      </c>
      <c r="D40" s="33">
        <v>1</v>
      </c>
      <c r="E40" s="33">
        <v>1</v>
      </c>
      <c r="F40" s="33">
        <v>1</v>
      </c>
      <c r="G40" s="33">
        <v>1</v>
      </c>
      <c r="H40" s="33">
        <v>1</v>
      </c>
    </row>
    <row r="41" spans="1:9" x14ac:dyDescent="0.15">
      <c r="B41" s="162"/>
      <c r="C41" t="s">
        <v>160</v>
      </c>
      <c r="D41" s="33">
        <v>1</v>
      </c>
      <c r="E41" s="33">
        <v>1</v>
      </c>
      <c r="F41" s="33">
        <v>1</v>
      </c>
      <c r="G41" s="33">
        <v>1</v>
      </c>
      <c r="H41" s="33">
        <v>1</v>
      </c>
    </row>
    <row r="42" spans="1:9" x14ac:dyDescent="0.15">
      <c r="B42" s="162" t="s">
        <v>7</v>
      </c>
      <c r="C42" t="s">
        <v>149</v>
      </c>
      <c r="D42" s="33">
        <v>1</v>
      </c>
      <c r="E42" s="33">
        <v>1</v>
      </c>
      <c r="F42" s="33">
        <v>1</v>
      </c>
      <c r="G42" s="33">
        <v>1</v>
      </c>
      <c r="H42" s="33">
        <v>1</v>
      </c>
    </row>
    <row r="43" spans="1:9" x14ac:dyDescent="0.15">
      <c r="B43" s="162"/>
      <c r="C43" t="s">
        <v>150</v>
      </c>
      <c r="D43" s="33">
        <v>1</v>
      </c>
      <c r="E43" s="33">
        <v>1</v>
      </c>
      <c r="F43" s="33">
        <v>1</v>
      </c>
      <c r="G43" s="33">
        <v>1</v>
      </c>
      <c r="H43" s="33">
        <v>1</v>
      </c>
    </row>
    <row r="44" spans="1:9" x14ac:dyDescent="0.15">
      <c r="B44" s="162"/>
      <c r="C44" t="s">
        <v>160</v>
      </c>
      <c r="D44" s="33">
        <v>1</v>
      </c>
      <c r="E44" s="33">
        <v>1</v>
      </c>
      <c r="F44" s="33">
        <v>1</v>
      </c>
      <c r="G44" s="33">
        <v>1</v>
      </c>
      <c r="H44" s="33">
        <v>1</v>
      </c>
    </row>
    <row r="45" spans="1:9" x14ac:dyDescent="0.15">
      <c r="B45" s="162" t="s">
        <v>8</v>
      </c>
      <c r="C45" t="s">
        <v>149</v>
      </c>
      <c r="D45" s="33">
        <v>1</v>
      </c>
      <c r="E45" s="33">
        <v>1</v>
      </c>
      <c r="F45" s="33">
        <v>0.78</v>
      </c>
      <c r="G45" s="33">
        <v>1</v>
      </c>
      <c r="H45" s="33">
        <v>1</v>
      </c>
    </row>
    <row r="46" spans="1:9" x14ac:dyDescent="0.15">
      <c r="B46" s="162"/>
      <c r="C46" t="s">
        <v>150</v>
      </c>
      <c r="D46" s="33">
        <v>1</v>
      </c>
      <c r="E46" s="33">
        <v>1</v>
      </c>
      <c r="F46" s="33">
        <v>0.78</v>
      </c>
      <c r="G46" s="33">
        <v>1</v>
      </c>
      <c r="H46" s="33">
        <v>1</v>
      </c>
    </row>
    <row r="47" spans="1:9" x14ac:dyDescent="0.15">
      <c r="B47" s="162"/>
      <c r="C47" t="s">
        <v>160</v>
      </c>
      <c r="D47" s="33">
        <v>1</v>
      </c>
      <c r="E47" s="33">
        <v>1</v>
      </c>
      <c r="F47" s="33">
        <v>1</v>
      </c>
      <c r="G47" s="33">
        <v>1</v>
      </c>
      <c r="H47" s="33">
        <v>1</v>
      </c>
    </row>
    <row r="48" spans="1:9" x14ac:dyDescent="0.15">
      <c r="B48" s="162" t="s">
        <v>9</v>
      </c>
      <c r="C48" t="s">
        <v>149</v>
      </c>
      <c r="D48" s="33">
        <v>1</v>
      </c>
      <c r="E48" s="33">
        <v>1</v>
      </c>
      <c r="F48" s="33">
        <v>1</v>
      </c>
      <c r="G48" s="33">
        <v>0.78</v>
      </c>
      <c r="H48" s="33">
        <v>1</v>
      </c>
    </row>
    <row r="49" spans="2:8" x14ac:dyDescent="0.15">
      <c r="B49" s="162"/>
      <c r="C49" t="s">
        <v>150</v>
      </c>
      <c r="D49" s="33">
        <v>1</v>
      </c>
      <c r="E49" s="33">
        <v>1</v>
      </c>
      <c r="F49" s="33">
        <v>1</v>
      </c>
      <c r="G49" s="33">
        <v>0.78</v>
      </c>
      <c r="H49" s="33">
        <v>1</v>
      </c>
    </row>
    <row r="50" spans="2:8" x14ac:dyDescent="0.15">
      <c r="B50" s="162"/>
      <c r="C50" t="s">
        <v>160</v>
      </c>
      <c r="D50" s="33">
        <v>1</v>
      </c>
      <c r="E50" s="33">
        <v>1</v>
      </c>
      <c r="F50" s="33">
        <v>1</v>
      </c>
      <c r="G50" s="33">
        <v>1</v>
      </c>
      <c r="H50" s="33">
        <v>1</v>
      </c>
    </row>
    <row r="51" spans="2:8" x14ac:dyDescent="0.15">
      <c r="B51" s="86" t="s">
        <v>94</v>
      </c>
      <c r="C51" t="s">
        <v>160</v>
      </c>
      <c r="D51" s="47">
        <v>1</v>
      </c>
      <c r="E51" s="47">
        <v>1</v>
      </c>
      <c r="F51" s="47">
        <v>0.95</v>
      </c>
      <c r="G51" s="47">
        <v>0.95</v>
      </c>
      <c r="H51" s="47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48" t="s">
        <v>157</v>
      </c>
      <c r="B2" s="49" t="s">
        <v>72</v>
      </c>
      <c r="C2" s="49"/>
      <c r="D2" s="49"/>
      <c r="E2" s="50"/>
    </row>
    <row r="3" spans="1:5" x14ac:dyDescent="0.15">
      <c r="A3" s="51"/>
      <c r="B3" s="52" t="s">
        <v>6</v>
      </c>
      <c r="C3" s="52"/>
      <c r="D3" s="52" t="s">
        <v>161</v>
      </c>
      <c r="E3" s="53"/>
    </row>
    <row r="4" spans="1:5" x14ac:dyDescent="0.15">
      <c r="A4" s="51"/>
      <c r="B4" s="52" t="s">
        <v>7</v>
      </c>
      <c r="C4" s="52"/>
      <c r="D4" s="52" t="s">
        <v>161</v>
      </c>
      <c r="E4" s="53"/>
    </row>
    <row r="5" spans="1:5" x14ac:dyDescent="0.15">
      <c r="A5" s="51"/>
      <c r="B5" s="52" t="s">
        <v>8</v>
      </c>
      <c r="C5" s="52"/>
      <c r="D5" s="52" t="s">
        <v>161</v>
      </c>
      <c r="E5" s="53"/>
    </row>
    <row r="6" spans="1:5" x14ac:dyDescent="0.15">
      <c r="A6" s="51"/>
      <c r="B6" s="52" t="s">
        <v>9</v>
      </c>
      <c r="C6" s="52"/>
      <c r="D6" s="75" t="s">
        <v>161</v>
      </c>
      <c r="E6" s="53"/>
    </row>
    <row r="7" spans="1:5" x14ac:dyDescent="0.15">
      <c r="A7" s="54"/>
      <c r="B7" s="55" t="s">
        <v>94</v>
      </c>
      <c r="C7" s="56"/>
      <c r="D7" s="56"/>
      <c r="E7" s="57"/>
    </row>
    <row r="9" spans="1:5" x14ac:dyDescent="0.15">
      <c r="A9" s="48" t="s">
        <v>158</v>
      </c>
      <c r="B9" s="49" t="s">
        <v>72</v>
      </c>
      <c r="C9" s="49"/>
      <c r="D9" s="49"/>
      <c r="E9" s="50"/>
    </row>
    <row r="10" spans="1:5" x14ac:dyDescent="0.15">
      <c r="A10" s="51"/>
      <c r="B10" s="52" t="s">
        <v>6</v>
      </c>
      <c r="C10" s="52"/>
      <c r="D10" s="52"/>
      <c r="E10" s="53"/>
    </row>
    <row r="11" spans="1:5" x14ac:dyDescent="0.15">
      <c r="A11" s="51"/>
      <c r="B11" s="52" t="s">
        <v>7</v>
      </c>
      <c r="C11" s="52"/>
      <c r="D11" s="52"/>
      <c r="E11" s="53"/>
    </row>
    <row r="12" spans="1:5" x14ac:dyDescent="0.15">
      <c r="A12" s="51"/>
      <c r="B12" s="52" t="s">
        <v>8</v>
      </c>
      <c r="C12" s="52"/>
      <c r="D12" s="52"/>
      <c r="E12" s="53"/>
    </row>
    <row r="13" spans="1:5" x14ac:dyDescent="0.15">
      <c r="A13" s="51"/>
      <c r="B13" s="52" t="s">
        <v>9</v>
      </c>
      <c r="C13" s="52"/>
      <c r="D13" s="52"/>
      <c r="E13" s="53"/>
    </row>
    <row r="14" spans="1:5" x14ac:dyDescent="0.15">
      <c r="A14" s="54"/>
      <c r="B14" s="55" t="s">
        <v>94</v>
      </c>
      <c r="C14" s="56"/>
      <c r="D14" s="56"/>
      <c r="E14" s="57"/>
    </row>
    <row r="16" spans="1:5" x14ac:dyDescent="0.15">
      <c r="A16" s="48" t="s">
        <v>159</v>
      </c>
      <c r="B16" s="49" t="s">
        <v>72</v>
      </c>
      <c r="C16" s="49"/>
      <c r="D16" s="49"/>
      <c r="E16" s="50"/>
    </row>
    <row r="17" spans="1:5" x14ac:dyDescent="0.15">
      <c r="A17" s="51"/>
      <c r="B17" s="52" t="s">
        <v>6</v>
      </c>
      <c r="C17" s="52"/>
      <c r="D17" s="52"/>
      <c r="E17" s="53"/>
    </row>
    <row r="18" spans="1:5" x14ac:dyDescent="0.15">
      <c r="A18" s="51"/>
      <c r="B18" s="52" t="s">
        <v>7</v>
      </c>
      <c r="C18" s="52"/>
      <c r="D18" s="52"/>
      <c r="E18" s="53"/>
    </row>
    <row r="19" spans="1:5" x14ac:dyDescent="0.15">
      <c r="A19" s="51"/>
      <c r="B19" s="52" t="s">
        <v>8</v>
      </c>
      <c r="C19" s="52"/>
      <c r="D19" s="52"/>
      <c r="E19" s="53"/>
    </row>
    <row r="20" spans="1:5" x14ac:dyDescent="0.15">
      <c r="A20" s="51"/>
      <c r="B20" s="52" t="s">
        <v>9</v>
      </c>
      <c r="C20" s="52"/>
      <c r="D20" s="52"/>
      <c r="E20" s="53"/>
    </row>
    <row r="21" spans="1:5" x14ac:dyDescent="0.15">
      <c r="A21" s="54"/>
      <c r="B21" s="55" t="s">
        <v>94</v>
      </c>
      <c r="C21" s="56"/>
      <c r="D21" s="56"/>
      <c r="E21" s="57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1">
        <f>'Baseline year demographics'!C$10</f>
        <v>0.51600000000000001</v>
      </c>
      <c r="D2">
        <v>1</v>
      </c>
      <c r="E2">
        <v>1</v>
      </c>
    </row>
    <row r="3" spans="1:5" x14ac:dyDescent="0.15">
      <c r="B3" t="s">
        <v>6</v>
      </c>
      <c r="C3" s="21">
        <f>'Baseline year demographics'!C$11</f>
        <v>0.34499999999999997</v>
      </c>
      <c r="D3">
        <v>1</v>
      </c>
      <c r="E3">
        <v>1</v>
      </c>
    </row>
    <row r="4" spans="1:5" x14ac:dyDescent="0.15">
      <c r="B4" t="s">
        <v>7</v>
      </c>
      <c r="C4" s="21">
        <f>'Baseline year demographics'!C$11</f>
        <v>0.34499999999999997</v>
      </c>
      <c r="D4">
        <v>1</v>
      </c>
      <c r="E4">
        <v>1</v>
      </c>
    </row>
    <row r="5" spans="1:5" x14ac:dyDescent="0.15">
      <c r="B5" t="s">
        <v>8</v>
      </c>
      <c r="C5" s="21">
        <f>'Baseline year demographics'!C$11</f>
        <v>0.34499999999999997</v>
      </c>
      <c r="D5">
        <v>1</v>
      </c>
      <c r="E5">
        <v>1</v>
      </c>
    </row>
    <row r="6" spans="1:5" x14ac:dyDescent="0.15">
      <c r="B6" t="s">
        <v>9</v>
      </c>
      <c r="C6" s="21">
        <f>'Baseline year demographics'!C$11</f>
        <v>0.34499999999999997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2">
        <v>0.15</v>
      </c>
      <c r="D8" s="22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2">
        <v>1</v>
      </c>
      <c r="D9" s="22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2">
        <v>0.15</v>
      </c>
      <c r="D10" s="22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2">
        <v>1</v>
      </c>
      <c r="D11" s="22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2">
        <v>0.35</v>
      </c>
      <c r="D12" s="22">
        <v>0.35</v>
      </c>
      <c r="E12" s="22">
        <v>0</v>
      </c>
      <c r="F12" s="22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2">
        <v>0</v>
      </c>
      <c r="F13" s="22">
        <v>0</v>
      </c>
    </row>
    <row r="14" spans="1:6" ht="15.75" customHeight="1" x14ac:dyDescent="0.15">
      <c r="A14" s="4" t="s">
        <v>77</v>
      </c>
      <c r="B14" t="s">
        <v>49</v>
      </c>
      <c r="C14" s="22">
        <v>0.35</v>
      </c>
      <c r="D14" s="22">
        <v>0.35</v>
      </c>
      <c r="E14" s="22">
        <v>0</v>
      </c>
      <c r="F14" s="22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2">
        <v>0</v>
      </c>
      <c r="F15" s="2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96">
        <v>1</v>
      </c>
      <c r="F2" s="96">
        <v>1</v>
      </c>
      <c r="G2" s="96">
        <v>1</v>
      </c>
      <c r="H2" s="96">
        <v>1</v>
      </c>
      <c r="I2" s="96">
        <v>1</v>
      </c>
      <c r="J2" s="96">
        <v>1</v>
      </c>
      <c r="K2" s="9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96">
        <v>1</v>
      </c>
      <c r="F3" s="96">
        <v>1</v>
      </c>
      <c r="G3" s="96">
        <v>1</v>
      </c>
      <c r="H3" s="96">
        <v>1</v>
      </c>
      <c r="I3" s="96">
        <v>1</v>
      </c>
      <c r="J3" s="96">
        <v>1</v>
      </c>
      <c r="K3" s="9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4">
        <v>0.9</v>
      </c>
      <c r="F27" s="24">
        <v>0.9</v>
      </c>
      <c r="G27" s="24">
        <v>0.9</v>
      </c>
      <c r="H27" s="24">
        <v>0.9</v>
      </c>
      <c r="I27" s="24">
        <v>0.9</v>
      </c>
      <c r="J27" s="24">
        <v>0.9</v>
      </c>
      <c r="K27" s="24">
        <v>0.9</v>
      </c>
      <c r="L27" s="24">
        <v>0.9</v>
      </c>
      <c r="M27" s="24">
        <v>0.9</v>
      </c>
      <c r="N27" s="24">
        <v>0.9</v>
      </c>
      <c r="O27" s="24">
        <v>0.9</v>
      </c>
    </row>
    <row r="28" spans="1:15" x14ac:dyDescent="0.15">
      <c r="B28" s="28" t="s">
        <v>140</v>
      </c>
      <c r="C28">
        <v>1</v>
      </c>
      <c r="D28">
        <v>1</v>
      </c>
      <c r="E28" s="23">
        <v>0.97599999999999998</v>
      </c>
      <c r="F28" s="23">
        <v>0.97599999999999998</v>
      </c>
      <c r="G28" s="23">
        <v>0.97599999999999998</v>
      </c>
      <c r="H28" s="23">
        <v>0.97599999999999998</v>
      </c>
      <c r="I28" s="23">
        <v>0.97599999999999998</v>
      </c>
      <c r="J28" s="23">
        <v>0.97599999999999998</v>
      </c>
      <c r="K28" s="23">
        <v>0.97599999999999998</v>
      </c>
      <c r="L28" s="23">
        <v>0.97599999999999998</v>
      </c>
      <c r="M28" s="23">
        <v>0.97599999999999998</v>
      </c>
      <c r="N28" s="23">
        <v>0.97599999999999998</v>
      </c>
      <c r="O28" s="23">
        <v>0.97599999999999998</v>
      </c>
    </row>
    <row r="29" spans="1:15" x14ac:dyDescent="0.15">
      <c r="B29" s="28" t="s">
        <v>141</v>
      </c>
      <c r="C29">
        <v>1</v>
      </c>
      <c r="D29">
        <v>1</v>
      </c>
      <c r="E29" s="23">
        <v>0.97599999999999998</v>
      </c>
      <c r="F29" s="23">
        <v>0.97599999999999998</v>
      </c>
      <c r="G29" s="23">
        <v>0.97599999999999998</v>
      </c>
      <c r="H29" s="23">
        <v>0.97599999999999998</v>
      </c>
      <c r="I29" s="23">
        <v>0.97599999999999998</v>
      </c>
      <c r="J29" s="23">
        <v>0.97599999999999998</v>
      </c>
      <c r="K29" s="23">
        <v>0.97599999999999998</v>
      </c>
      <c r="L29" s="23">
        <v>0.97599999999999998</v>
      </c>
      <c r="M29" s="23">
        <v>0.97599999999999998</v>
      </c>
      <c r="N29" s="23">
        <v>0.97599999999999998</v>
      </c>
      <c r="O29" s="23">
        <v>0.97599999999999998</v>
      </c>
    </row>
    <row r="30" spans="1:15" x14ac:dyDescent="0.15">
      <c r="B30" s="28" t="s">
        <v>142</v>
      </c>
      <c r="C30">
        <v>1</v>
      </c>
      <c r="D30">
        <v>1</v>
      </c>
      <c r="E30" s="23">
        <v>0.97599999999999998</v>
      </c>
      <c r="F30" s="23">
        <v>0.97599999999999998</v>
      </c>
      <c r="G30" s="23">
        <v>0.97599999999999998</v>
      </c>
      <c r="H30" s="23">
        <v>0.97599999999999998</v>
      </c>
      <c r="I30" s="23">
        <v>0.97599999999999998</v>
      </c>
      <c r="J30" s="23">
        <v>0.97599999999999998</v>
      </c>
      <c r="K30" s="23">
        <v>0.97599999999999998</v>
      </c>
      <c r="L30" s="23">
        <v>0.97599999999999998</v>
      </c>
      <c r="M30" s="23">
        <v>0.97599999999999998</v>
      </c>
      <c r="N30" s="23">
        <v>0.97599999999999998</v>
      </c>
      <c r="O30" s="23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27" t="s">
        <v>148</v>
      </c>
      <c r="C2" s="27">
        <v>1</v>
      </c>
      <c r="D2" s="27">
        <v>0.21</v>
      </c>
      <c r="E2" s="27">
        <v>0.21</v>
      </c>
      <c r="F2" s="27">
        <v>0.21</v>
      </c>
      <c r="G2" s="27">
        <v>0.21</v>
      </c>
    </row>
    <row r="4" spans="1:7" x14ac:dyDescent="0.15">
      <c r="A4" s="10" t="s">
        <v>262</v>
      </c>
      <c r="B4" s="28" t="s">
        <v>147</v>
      </c>
      <c r="C4" s="27">
        <v>1</v>
      </c>
      <c r="D4" s="27">
        <v>0.14299999999999999</v>
      </c>
      <c r="E4" s="27">
        <v>0.14299999999999999</v>
      </c>
      <c r="F4" s="27">
        <v>0.14299999999999999</v>
      </c>
      <c r="G4" s="27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" workbookViewId="0">
      <selection activeCell="C32" sqref="C32"/>
    </sheetView>
  </sheetViews>
  <sheetFormatPr baseColWidth="10" defaultColWidth="14.5" defaultRowHeight="15.75" customHeight="1" x14ac:dyDescent="0.2"/>
  <cols>
    <col min="1" max="1" width="22.6640625" style="136" customWidth="1"/>
    <col min="2" max="2" width="34.5" style="136" bestFit="1" customWidth="1"/>
    <col min="3" max="16384" width="14.5" style="136"/>
  </cols>
  <sheetData>
    <row r="1" spans="1:3" ht="16" customHeight="1" x14ac:dyDescent="0.2">
      <c r="A1" s="135" t="s">
        <v>95</v>
      </c>
      <c r="B1" s="135" t="s">
        <v>57</v>
      </c>
      <c r="C1" s="136" t="s">
        <v>96</v>
      </c>
    </row>
    <row r="2" spans="1:3" ht="15.75" customHeight="1" x14ac:dyDescent="0.2">
      <c r="A2" s="137" t="s">
        <v>58</v>
      </c>
      <c r="B2" s="136" t="s">
        <v>0</v>
      </c>
      <c r="C2" s="142">
        <v>2017</v>
      </c>
    </row>
    <row r="3" spans="1:3" ht="15.75" customHeight="1" x14ac:dyDescent="0.2">
      <c r="B3" s="138" t="s">
        <v>1</v>
      </c>
      <c r="C3" s="139">
        <v>403678.63899533043</v>
      </c>
    </row>
    <row r="4" spans="1:3" ht="15.75" customHeight="1" x14ac:dyDescent="0.2">
      <c r="B4" s="138" t="s">
        <v>3</v>
      </c>
      <c r="C4" s="139">
        <v>81496.890284719615</v>
      </c>
    </row>
    <row r="5" spans="1:3" ht="15.75" customHeight="1" x14ac:dyDescent="0.2">
      <c r="B5" s="140" t="s">
        <v>102</v>
      </c>
      <c r="C5" s="141" t="s">
        <v>257</v>
      </c>
    </row>
    <row r="6" spans="1:3" ht="15.75" customHeight="1" x14ac:dyDescent="0.2">
      <c r="B6" s="138" t="s">
        <v>4</v>
      </c>
      <c r="C6" s="139">
        <v>95822.941223378162</v>
      </c>
    </row>
    <row r="7" spans="1:3" ht="15.75" customHeight="1" x14ac:dyDescent="0.2">
      <c r="B7" s="140" t="s">
        <v>65</v>
      </c>
      <c r="C7" s="142">
        <v>0.26200000000000001</v>
      </c>
    </row>
    <row r="8" spans="1:3" ht="15.75" customHeight="1" x14ac:dyDescent="0.2">
      <c r="B8" s="138" t="s">
        <v>64</v>
      </c>
      <c r="C8" s="142">
        <v>0.32</v>
      </c>
    </row>
    <row r="9" spans="1:3" ht="15.75" customHeight="1" x14ac:dyDescent="0.2">
      <c r="B9" s="140" t="s">
        <v>66</v>
      </c>
      <c r="C9" s="142">
        <v>1</v>
      </c>
    </row>
    <row r="10" spans="1:3" ht="15.75" customHeight="1" x14ac:dyDescent="0.2">
      <c r="B10" s="138" t="s">
        <v>173</v>
      </c>
      <c r="C10" s="143">
        <v>0.51600000000000001</v>
      </c>
    </row>
    <row r="11" spans="1:3" ht="15.75" customHeight="1" x14ac:dyDescent="0.2">
      <c r="B11" s="138" t="s">
        <v>174</v>
      </c>
      <c r="C11" s="143">
        <v>0.34499999999999997</v>
      </c>
    </row>
    <row r="12" spans="1:3" ht="15.75" customHeight="1" x14ac:dyDescent="0.2">
      <c r="B12" s="138" t="s">
        <v>175</v>
      </c>
      <c r="C12" s="143"/>
    </row>
    <row r="13" spans="1:3" ht="15" x14ac:dyDescent="0.2">
      <c r="B13" s="136" t="s">
        <v>258</v>
      </c>
      <c r="C13" s="144">
        <v>0.9</v>
      </c>
    </row>
    <row r="14" spans="1:3" ht="15" x14ac:dyDescent="0.2">
      <c r="B14" s="136" t="s">
        <v>259</v>
      </c>
      <c r="C14" s="144">
        <v>0.1</v>
      </c>
    </row>
    <row r="15" spans="1:3" ht="15" x14ac:dyDescent="0.2">
      <c r="B15" s="138" t="s">
        <v>260</v>
      </c>
      <c r="C15" s="145">
        <v>0.2</v>
      </c>
    </row>
    <row r="16" spans="1:3" ht="15.75" customHeight="1" x14ac:dyDescent="0.2">
      <c r="B16" s="138"/>
      <c r="C16" s="146"/>
    </row>
    <row r="17" spans="1:3" ht="15.75" customHeight="1" x14ac:dyDescent="0.2">
      <c r="B17" s="140"/>
    </row>
    <row r="18" spans="1:3" ht="15.75" customHeight="1" x14ac:dyDescent="0.2">
      <c r="A18" s="135" t="s">
        <v>105</v>
      </c>
      <c r="B18" s="135"/>
      <c r="C18" s="138"/>
    </row>
    <row r="19" spans="1:3" ht="15.75" customHeight="1" x14ac:dyDescent="0.2">
      <c r="B19" s="136" t="s">
        <v>267</v>
      </c>
      <c r="C19" s="142">
        <v>5.48</v>
      </c>
    </row>
    <row r="20" spans="1:3" ht="15.75" customHeight="1" x14ac:dyDescent="0.2">
      <c r="B20" s="147" t="s">
        <v>103</v>
      </c>
      <c r="C20" s="152" t="s">
        <v>257</v>
      </c>
    </row>
    <row r="21" spans="1:3" ht="15.75" customHeight="1" x14ac:dyDescent="0.2">
      <c r="B21" s="147" t="s">
        <v>104</v>
      </c>
      <c r="C21" s="152" t="s">
        <v>257</v>
      </c>
    </row>
    <row r="22" spans="1:3" ht="15.75" customHeight="1" x14ac:dyDescent="0.2">
      <c r="B22" s="136" t="s">
        <v>268</v>
      </c>
      <c r="C22" s="142">
        <v>23</v>
      </c>
    </row>
    <row r="23" spans="1:3" ht="15.75" customHeight="1" x14ac:dyDescent="0.2">
      <c r="B23" s="136" t="s">
        <v>269</v>
      </c>
      <c r="C23" s="142">
        <v>38</v>
      </c>
    </row>
    <row r="24" spans="1:3" ht="15.75" customHeight="1" x14ac:dyDescent="0.2">
      <c r="B24" s="136" t="s">
        <v>270</v>
      </c>
      <c r="C24" s="142">
        <v>56</v>
      </c>
    </row>
    <row r="26" spans="1:3" ht="15.75" customHeight="1" x14ac:dyDescent="0.2">
      <c r="A26" s="135" t="s">
        <v>68</v>
      </c>
      <c r="B26" s="135"/>
      <c r="C26" s="138"/>
    </row>
    <row r="27" spans="1:3" ht="15.75" customHeight="1" x14ac:dyDescent="0.2">
      <c r="B27" s="140" t="s">
        <v>70</v>
      </c>
      <c r="C27" s="142"/>
    </row>
    <row r="28" spans="1:3" ht="15.75" customHeight="1" x14ac:dyDescent="0.2">
      <c r="B28" s="140" t="s">
        <v>90</v>
      </c>
      <c r="C28" s="155"/>
    </row>
    <row r="29" spans="1:3" ht="15.75" customHeight="1" x14ac:dyDescent="0.2">
      <c r="B29" s="140" t="s">
        <v>91</v>
      </c>
      <c r="C29" s="155"/>
    </row>
    <row r="30" spans="1:3" ht="15.75" customHeight="1" x14ac:dyDescent="0.2">
      <c r="B30" s="140" t="s">
        <v>92</v>
      </c>
      <c r="C30" s="142">
        <v>0.88</v>
      </c>
    </row>
    <row r="31" spans="1:3" ht="15.75" customHeight="1" x14ac:dyDescent="0.2">
      <c r="B31" s="140" t="s">
        <v>69</v>
      </c>
      <c r="C31" s="142"/>
    </row>
    <row r="32" spans="1:3" ht="15.75" customHeight="1" x14ac:dyDescent="0.2">
      <c r="B32" s="140"/>
      <c r="C32" s="146"/>
    </row>
    <row r="34" spans="1:5" ht="15.75" customHeight="1" x14ac:dyDescent="0.2">
      <c r="A34" s="135" t="s">
        <v>101</v>
      </c>
      <c r="B34" s="148" t="s">
        <v>107</v>
      </c>
      <c r="C34" s="156">
        <v>112151.92977720202</v>
      </c>
    </row>
    <row r="35" spans="1:5" ht="15" customHeight="1" x14ac:dyDescent="0.2">
      <c r="B35" s="148" t="s">
        <v>108</v>
      </c>
      <c r="C35" s="156">
        <v>180283.76829536792</v>
      </c>
      <c r="D35" s="149"/>
      <c r="E35" s="149"/>
    </row>
    <row r="36" spans="1:5" ht="15.75" customHeight="1" x14ac:dyDescent="0.2">
      <c r="B36" s="148" t="s">
        <v>109</v>
      </c>
      <c r="C36" s="156">
        <v>127057.8029797925</v>
      </c>
      <c r="D36" s="149"/>
    </row>
    <row r="37" spans="1:5" ht="15.75" customHeight="1" x14ac:dyDescent="0.2">
      <c r="B37" s="148" t="s">
        <v>110</v>
      </c>
      <c r="C37" s="156">
        <v>79443.144622472115</v>
      </c>
      <c r="D37" s="149"/>
    </row>
    <row r="38" spans="1:5" ht="15.75" customHeight="1" x14ac:dyDescent="0.2">
      <c r="B38" s="148"/>
      <c r="C38" s="151"/>
      <c r="D38" s="149"/>
    </row>
    <row r="39" spans="1:5" ht="15.75" customHeight="1" x14ac:dyDescent="0.2">
      <c r="B39" s="148"/>
      <c r="C39" s="151"/>
      <c r="D39" s="149"/>
    </row>
    <row r="40" spans="1:5" ht="15.75" customHeight="1" x14ac:dyDescent="0.2">
      <c r="A40" s="135" t="s">
        <v>214</v>
      </c>
      <c r="B40" s="148" t="s">
        <v>107</v>
      </c>
      <c r="C40" s="153">
        <f>C34-C46</f>
        <v>99978.081614077935</v>
      </c>
      <c r="D40" s="149"/>
      <c r="E40" s="150"/>
    </row>
    <row r="41" spans="1:5" ht="15" customHeight="1" x14ac:dyDescent="0.2">
      <c r="B41" s="148" t="s">
        <v>108</v>
      </c>
      <c r="C41" s="153">
        <f t="shared" ref="C41:C43" si="0">C35-C47</f>
        <v>136937.49074485037</v>
      </c>
      <c r="D41" s="149"/>
      <c r="E41" s="149"/>
    </row>
    <row r="42" spans="1:5" ht="15.75" customHeight="1" x14ac:dyDescent="0.2">
      <c r="B42" s="148" t="s">
        <v>109</v>
      </c>
      <c r="C42" s="153">
        <f t="shared" si="0"/>
        <v>95055.338490367838</v>
      </c>
      <c r="D42" s="149"/>
    </row>
    <row r="43" spans="1:5" ht="15.75" customHeight="1" x14ac:dyDescent="0.2">
      <c r="B43" s="148" t="s">
        <v>110</v>
      </c>
      <c r="C43" s="153">
        <f t="shared" si="0"/>
        <v>71142.793602160236</v>
      </c>
      <c r="D43" s="149"/>
    </row>
    <row r="44" spans="1:5" ht="15.75" customHeight="1" x14ac:dyDescent="0.2">
      <c r="B44" s="148"/>
      <c r="C44" s="151"/>
      <c r="D44" s="149"/>
    </row>
    <row r="45" spans="1:5" ht="15" customHeight="1" x14ac:dyDescent="0.2">
      <c r="B45" s="148"/>
      <c r="C45" s="151"/>
    </row>
    <row r="46" spans="1:5" ht="15.75" customHeight="1" x14ac:dyDescent="0.2">
      <c r="A46" s="135" t="s">
        <v>215</v>
      </c>
      <c r="B46" s="148" t="s">
        <v>111</v>
      </c>
      <c r="C46" s="154">
        <f>C52*C$6</f>
        <v>12173.848163124079</v>
      </c>
    </row>
    <row r="47" spans="1:5" ht="15.75" customHeight="1" x14ac:dyDescent="0.2">
      <c r="B47" s="148" t="s">
        <v>112</v>
      </c>
      <c r="C47" s="154">
        <f t="shared" ref="C47:C49" si="1">C53*C$6</f>
        <v>43346.277550517552</v>
      </c>
    </row>
    <row r="48" spans="1:5" ht="15.75" customHeight="1" x14ac:dyDescent="0.2">
      <c r="B48" s="148" t="s">
        <v>113</v>
      </c>
      <c r="C48" s="154">
        <f t="shared" si="1"/>
        <v>32002.464489424659</v>
      </c>
    </row>
    <row r="49" spans="1:3" ht="15.75" customHeight="1" x14ac:dyDescent="0.2">
      <c r="B49" s="148" t="s">
        <v>114</v>
      </c>
      <c r="C49" s="154">
        <f t="shared" si="1"/>
        <v>8300.3510203118713</v>
      </c>
    </row>
    <row r="52" spans="1:3" ht="15.75" customHeight="1" x14ac:dyDescent="0.2">
      <c r="A52" s="135" t="s">
        <v>99</v>
      </c>
      <c r="B52" s="148" t="s">
        <v>111</v>
      </c>
      <c r="C52" s="157">
        <v>0.12704523580365737</v>
      </c>
    </row>
    <row r="53" spans="1:3" ht="15.75" customHeight="1" x14ac:dyDescent="0.2">
      <c r="B53" s="148" t="s">
        <v>112</v>
      </c>
      <c r="C53" s="157">
        <v>0.4523580365736285</v>
      </c>
    </row>
    <row r="54" spans="1:3" ht="15.75" customHeight="1" x14ac:dyDescent="0.2">
      <c r="B54" s="148" t="s">
        <v>113</v>
      </c>
      <c r="C54" s="157">
        <v>0.33397497593840231</v>
      </c>
    </row>
    <row r="55" spans="1:3" ht="15.75" customHeight="1" x14ac:dyDescent="0.2">
      <c r="B55" s="148" t="s">
        <v>114</v>
      </c>
      <c r="C55" s="157">
        <v>8.662175168431184E-2</v>
      </c>
    </row>
  </sheetData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97">
        <v>0.33500000000000002</v>
      </c>
      <c r="H2" s="9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27" t="s">
        <v>219</v>
      </c>
      <c r="C5" s="28" t="s">
        <v>98</v>
      </c>
      <c r="D5" s="28">
        <v>0</v>
      </c>
      <c r="E5" s="28">
        <v>0</v>
      </c>
      <c r="F5" s="28">
        <v>0.33500000000000002</v>
      </c>
      <c r="G5" s="29">
        <v>0.33500000000000002</v>
      </c>
      <c r="H5" s="29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28">
        <v>0</v>
      </c>
      <c r="E6" s="28">
        <v>0</v>
      </c>
      <c r="F6" s="28">
        <v>0.33500000000000002</v>
      </c>
      <c r="G6" s="29">
        <v>0.33500000000000002</v>
      </c>
      <c r="H6" s="29">
        <v>0.33500000000000002</v>
      </c>
    </row>
    <row r="7" spans="1:8" x14ac:dyDescent="0.15">
      <c r="C7" s="4" t="s">
        <v>63</v>
      </c>
      <c r="D7" s="28">
        <v>0</v>
      </c>
      <c r="E7" s="28">
        <v>0</v>
      </c>
      <c r="F7" s="12">
        <f>1-(0.913+0.335-1)/0.335</f>
        <v>0.25970149253731345</v>
      </c>
      <c r="G7" s="12">
        <f>1-(0.913+0.335-1)/0.335</f>
        <v>0.25970149253731345</v>
      </c>
      <c r="H7" s="28">
        <v>0</v>
      </c>
    </row>
    <row r="8" spans="1:8" x14ac:dyDescent="0.15">
      <c r="B8" t="s">
        <v>143</v>
      </c>
      <c r="C8" s="4" t="s">
        <v>98</v>
      </c>
      <c r="D8" s="28">
        <v>0</v>
      </c>
      <c r="E8" s="28">
        <v>0</v>
      </c>
      <c r="F8" s="28">
        <v>0.33500000000000002</v>
      </c>
      <c r="G8" s="29">
        <v>0.33500000000000002</v>
      </c>
      <c r="H8" s="29">
        <v>0.33500000000000002</v>
      </c>
    </row>
    <row r="9" spans="1:8" x14ac:dyDescent="0.15">
      <c r="C9" s="4" t="s">
        <v>63</v>
      </c>
      <c r="D9" s="28">
        <v>0</v>
      </c>
      <c r="E9" s="28">
        <v>0</v>
      </c>
      <c r="F9" s="12">
        <f>1-(0.913+0.335-1)/0.335</f>
        <v>0.25970149253731345</v>
      </c>
      <c r="G9" s="12">
        <f>1-(0.913+0.335-1)/0.335</f>
        <v>0.25970149253731345</v>
      </c>
      <c r="H9" s="28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28">
        <v>0</v>
      </c>
      <c r="E10" s="28">
        <v>0</v>
      </c>
      <c r="F10" s="28">
        <v>0.33500000000000002</v>
      </c>
      <c r="G10" s="29">
        <v>0.33500000000000002</v>
      </c>
      <c r="H10" s="29">
        <v>0.33500000000000002</v>
      </c>
    </row>
    <row r="11" spans="1:8" x14ac:dyDescent="0.15">
      <c r="C11" s="4" t="s">
        <v>63</v>
      </c>
      <c r="D11" s="28">
        <v>0</v>
      </c>
      <c r="E11" s="28">
        <v>0</v>
      </c>
      <c r="F11" s="12">
        <f>1-(0.913+0.335-1)/0.335</f>
        <v>0.25970149253731345</v>
      </c>
      <c r="G11" s="12">
        <f>1-(0.913+0.335-1)/0.335</f>
        <v>0.25970149253731345</v>
      </c>
      <c r="H11" s="28">
        <v>0</v>
      </c>
    </row>
    <row r="12" spans="1:8" x14ac:dyDescent="0.15">
      <c r="B12" t="s">
        <v>143</v>
      </c>
      <c r="C12" s="4" t="s">
        <v>98</v>
      </c>
      <c r="D12" s="28">
        <v>0</v>
      </c>
      <c r="E12" s="28">
        <v>0</v>
      </c>
      <c r="F12" s="28">
        <v>0.33500000000000002</v>
      </c>
      <c r="G12" s="29">
        <v>0.33500000000000002</v>
      </c>
      <c r="H12" s="29">
        <v>0.33500000000000002</v>
      </c>
    </row>
    <row r="13" spans="1:8" x14ac:dyDescent="0.15">
      <c r="C13" s="4" t="s">
        <v>63</v>
      </c>
      <c r="D13" s="28">
        <v>0</v>
      </c>
      <c r="E13" s="28">
        <v>0</v>
      </c>
      <c r="F13" s="12">
        <f>1-(0.913+0.335-1)/0.335</f>
        <v>0.25970149253731345</v>
      </c>
      <c r="G13" s="12">
        <f>1-(0.913+0.335-1)/0.335</f>
        <v>0.25970149253731345</v>
      </c>
      <c r="H13" s="28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28">
        <v>0</v>
      </c>
      <c r="E14" s="28">
        <v>0</v>
      </c>
      <c r="F14" s="28">
        <v>0.33500000000000002</v>
      </c>
      <c r="G14" s="29">
        <v>0.33500000000000002</v>
      </c>
      <c r="H14" s="29">
        <v>0.33500000000000002</v>
      </c>
    </row>
    <row r="15" spans="1:8" x14ac:dyDescent="0.15">
      <c r="C15" s="4" t="s">
        <v>63</v>
      </c>
      <c r="D15" s="28">
        <v>0</v>
      </c>
      <c r="E15" s="28">
        <v>0</v>
      </c>
      <c r="F15" s="12">
        <f>1-(0.913+0.335-1)/0.335</f>
        <v>0.25970149253731345</v>
      </c>
      <c r="G15" s="12">
        <f>1-(0.913+0.335-1)/0.335</f>
        <v>0.25970149253731345</v>
      </c>
      <c r="H15" s="28">
        <v>0</v>
      </c>
    </row>
    <row r="16" spans="1:8" x14ac:dyDescent="0.15">
      <c r="B16" t="s">
        <v>143</v>
      </c>
      <c r="C16" s="4" t="s">
        <v>98</v>
      </c>
      <c r="D16" s="28">
        <v>0</v>
      </c>
      <c r="E16" s="28">
        <v>0</v>
      </c>
      <c r="F16" s="28">
        <v>0.33500000000000002</v>
      </c>
      <c r="G16" s="29">
        <v>0.33500000000000002</v>
      </c>
      <c r="H16" s="29">
        <v>0.33500000000000002</v>
      </c>
    </row>
    <row r="17" spans="1:9" x14ac:dyDescent="0.15">
      <c r="C17" s="4" t="s">
        <v>63</v>
      </c>
      <c r="D17" s="28">
        <v>0</v>
      </c>
      <c r="E17" s="28">
        <v>0</v>
      </c>
      <c r="F17" s="12">
        <f>1-(0.913+0.335-1)/0.335</f>
        <v>0.25970149253731345</v>
      </c>
      <c r="G17" s="12">
        <f>1-(0.913+0.335-1)/0.335</f>
        <v>0.25970149253731345</v>
      </c>
      <c r="H17" s="28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28">
        <v>0</v>
      </c>
      <c r="E18" s="28">
        <v>0</v>
      </c>
      <c r="F18" s="28">
        <v>0.33500000000000002</v>
      </c>
      <c r="G18" s="29">
        <v>0.33500000000000002</v>
      </c>
      <c r="H18" s="29">
        <v>0.33500000000000002</v>
      </c>
    </row>
    <row r="19" spans="1:9" x14ac:dyDescent="0.15">
      <c r="C19" s="4" t="s">
        <v>63</v>
      </c>
      <c r="D19" s="28">
        <v>0</v>
      </c>
      <c r="E19" s="28">
        <v>0</v>
      </c>
      <c r="F19" s="28">
        <v>0.7</v>
      </c>
      <c r="G19" s="28">
        <v>0.62</v>
      </c>
      <c r="H19" s="28">
        <v>0.62</v>
      </c>
      <c r="I19" s="11"/>
    </row>
    <row r="20" spans="1:9" x14ac:dyDescent="0.15">
      <c r="B20" t="s">
        <v>143</v>
      </c>
      <c r="C20" s="4" t="s">
        <v>98</v>
      </c>
      <c r="D20" s="30">
        <v>0</v>
      </c>
      <c r="E20" s="30">
        <v>0</v>
      </c>
      <c r="F20" s="30">
        <v>0.33500000000000002</v>
      </c>
      <c r="G20" s="31">
        <v>0.33500000000000002</v>
      </c>
      <c r="H20" s="31">
        <v>0.33500000000000002</v>
      </c>
      <c r="I20" s="11"/>
    </row>
    <row r="21" spans="1:9" x14ac:dyDescent="0.15">
      <c r="C21" s="4" t="s">
        <v>63</v>
      </c>
      <c r="D21" s="30">
        <v>0</v>
      </c>
      <c r="E21" s="30">
        <v>0</v>
      </c>
      <c r="F21" s="30">
        <v>0.84</v>
      </c>
      <c r="G21" s="30">
        <v>0.62</v>
      </c>
      <c r="H21" s="30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2" t="s">
        <v>162</v>
      </c>
      <c r="B2" s="43">
        <v>0.9</v>
      </c>
      <c r="C2" s="45"/>
      <c r="E2">
        <f>C2*D2</f>
        <v>0</v>
      </c>
    </row>
    <row r="3" spans="1:5" ht="14" x14ac:dyDescent="0.15">
      <c r="A3" s="42" t="s">
        <v>163</v>
      </c>
      <c r="B3" s="43">
        <v>1</v>
      </c>
      <c r="C3" s="45"/>
      <c r="E3">
        <f t="shared" ref="E3:E10" si="0">C3*D3</f>
        <v>0</v>
      </c>
    </row>
    <row r="4" spans="1:5" ht="14" x14ac:dyDescent="0.15">
      <c r="A4" s="42" t="s">
        <v>164</v>
      </c>
      <c r="B4" s="43">
        <v>1</v>
      </c>
      <c r="C4" s="45"/>
      <c r="E4">
        <f t="shared" si="0"/>
        <v>0</v>
      </c>
    </row>
    <row r="5" spans="1:5" ht="14" x14ac:dyDescent="0.15">
      <c r="A5" s="42" t="s">
        <v>167</v>
      </c>
      <c r="B5" s="43">
        <v>1</v>
      </c>
      <c r="C5" s="45"/>
      <c r="E5">
        <f t="shared" si="0"/>
        <v>0</v>
      </c>
    </row>
    <row r="6" spans="1:5" ht="14" x14ac:dyDescent="0.15">
      <c r="A6" s="42" t="s">
        <v>168</v>
      </c>
      <c r="B6" s="43">
        <v>1</v>
      </c>
      <c r="C6" s="45"/>
      <c r="E6">
        <f t="shared" si="0"/>
        <v>0</v>
      </c>
    </row>
    <row r="7" spans="1:5" ht="14" x14ac:dyDescent="0.15">
      <c r="A7" s="42" t="s">
        <v>165</v>
      </c>
      <c r="B7" s="43">
        <v>0.93</v>
      </c>
      <c r="C7" s="45"/>
      <c r="E7">
        <f t="shared" si="0"/>
        <v>0</v>
      </c>
    </row>
    <row r="8" spans="1:5" ht="14" x14ac:dyDescent="0.15">
      <c r="A8" s="42" t="s">
        <v>166</v>
      </c>
      <c r="B8" s="43">
        <v>0.5</v>
      </c>
      <c r="C8" s="45"/>
      <c r="E8">
        <f t="shared" si="0"/>
        <v>0</v>
      </c>
    </row>
    <row r="9" spans="1:5" ht="14" x14ac:dyDescent="0.15">
      <c r="A9" s="42" t="s">
        <v>169</v>
      </c>
      <c r="B9" s="43">
        <v>0.5</v>
      </c>
      <c r="C9" s="45"/>
      <c r="E9">
        <f t="shared" si="0"/>
        <v>0</v>
      </c>
    </row>
    <row r="10" spans="1:5" ht="14" x14ac:dyDescent="0.15">
      <c r="A10" s="42" t="s">
        <v>170</v>
      </c>
      <c r="B10" s="43">
        <v>0.98</v>
      </c>
      <c r="C10" s="45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4"/>
    </row>
    <row r="2" spans="1:8" x14ac:dyDescent="0.15">
      <c r="A2" s="4" t="s">
        <v>210</v>
      </c>
      <c r="B2" s="85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4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4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4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1" t="s">
        <v>48</v>
      </c>
      <c r="C1" s="72" t="s">
        <v>188</v>
      </c>
      <c r="D1" s="72" t="s">
        <v>189</v>
      </c>
      <c r="E1" s="72" t="s">
        <v>190</v>
      </c>
      <c r="F1" s="1"/>
    </row>
    <row r="2" spans="1:6" x14ac:dyDescent="0.15">
      <c r="A2" t="s">
        <v>240</v>
      </c>
      <c r="B2" s="52" t="s">
        <v>51</v>
      </c>
      <c r="C2" s="73">
        <f>'Distribution births'!C2</f>
        <v>5.6000000000000001E-2</v>
      </c>
      <c r="D2" s="73">
        <f>'Distribution births'!C3</f>
        <v>5.0000000000000001E-3</v>
      </c>
      <c r="E2" s="73">
        <f>'Distribution births'!C4</f>
        <v>0</v>
      </c>
      <c r="F2" s="9"/>
    </row>
    <row r="3" spans="1:6" x14ac:dyDescent="0.15">
      <c r="B3" s="52" t="s">
        <v>49</v>
      </c>
      <c r="C3" s="73">
        <v>0.8</v>
      </c>
      <c r="D3" s="73">
        <v>0.8</v>
      </c>
      <c r="E3" s="73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2" sqref="E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36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36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5">
        <f>'Baseline year demographics'!C8</f>
        <v>0.32</v>
      </c>
      <c r="F6" s="15">
        <f>'Baseline year demographics'!C8</f>
        <v>0.32</v>
      </c>
      <c r="G6" s="15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5">
        <f>'Baseline year demographics'!C8*(1-'Baseline year demographics'!C9)</f>
        <v>0</v>
      </c>
      <c r="F7" s="15">
        <f>'Baseline year demographics'!C8*(1-'Baseline year demographics'!C9)</f>
        <v>0</v>
      </c>
      <c r="G7" s="15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5">
        <f>'Baseline year demographics'!C8*'Baseline year demographics'!C9</f>
        <v>0.32</v>
      </c>
      <c r="F8" s="15">
        <f>'Baseline year demographics'!C8*'Baseline year demographics'!C9</f>
        <v>0.32</v>
      </c>
      <c r="G8" s="15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5">
        <f>(1-'Baseline year demographics'!$C9)</f>
        <v>0</v>
      </c>
      <c r="F9" s="15">
        <f>(1-'Baseline year demographics'!$C9)</f>
        <v>0</v>
      </c>
      <c r="G9" s="15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5">
        <f>'Baseline year demographics'!$C9</f>
        <v>1</v>
      </c>
      <c r="F10" s="15">
        <f>'Baseline year demographics'!$C9</f>
        <v>1</v>
      </c>
      <c r="G10" s="15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98">
        <v>0</v>
      </c>
      <c r="D11" s="99">
        <f>'Baseline year demographics'!$C8</f>
        <v>0.32</v>
      </c>
      <c r="E11" s="99">
        <f>'Baseline year demographics'!$C8</f>
        <v>0.32</v>
      </c>
      <c r="F11" s="99">
        <f>'Baseline year demographics'!$C8</f>
        <v>0.32</v>
      </c>
      <c r="G11" s="99">
        <f>'Baseline year demographics'!$C8</f>
        <v>0.32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98">
        <v>0</v>
      </c>
      <c r="D12" s="98">
        <v>1</v>
      </c>
      <c r="E12" s="98">
        <v>1</v>
      </c>
      <c r="F12" s="98">
        <v>1</v>
      </c>
      <c r="G12" s="9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98">
        <v>0</v>
      </c>
      <c r="D13" s="98">
        <v>1</v>
      </c>
      <c r="E13" s="98">
        <v>1</v>
      </c>
      <c r="F13" s="98">
        <v>1</v>
      </c>
      <c r="G13" s="9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5">
        <f>'Baseline year demographics'!$C$8</f>
        <v>0.32</v>
      </c>
      <c r="I15" s="15">
        <f>'Baseline year demographics'!$C$8</f>
        <v>0.32</v>
      </c>
      <c r="J15" s="15">
        <f>'Baseline year demographics'!$C$8</f>
        <v>0.32</v>
      </c>
      <c r="K15" s="15">
        <f>'Baseline year demographics'!$C$8</f>
        <v>0.32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5">
        <f>'Baseline year demographics'!$C9</f>
        <v>1</v>
      </c>
      <c r="I17" s="15">
        <f>'Baseline year demographics'!$C9</f>
        <v>1</v>
      </c>
      <c r="J17" s="15">
        <f>'Baseline year demographics'!$C9</f>
        <v>1</v>
      </c>
      <c r="K17" s="15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9">
        <f xml:space="preserve"> 1-'Baseline year demographics'!$C9</f>
        <v>0</v>
      </c>
      <c r="I18" s="19">
        <f xml:space="preserve"> 1-'Baseline year demographics'!$C9</f>
        <v>0</v>
      </c>
      <c r="J18" s="19">
        <f xml:space="preserve"> 1-'Baseline year demographics'!$C9</f>
        <v>0</v>
      </c>
      <c r="K18" s="19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19">
        <f>'Baseline year demographics'!$C9</f>
        <v>1</v>
      </c>
      <c r="I19" s="19">
        <f>'Baseline year demographics'!$C9</f>
        <v>1</v>
      </c>
      <c r="J19" s="19">
        <f>'Baseline year demographics'!$C9</f>
        <v>1</v>
      </c>
      <c r="K19" s="19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19">
        <f>'Baseline year demographics'!$C9</f>
        <v>1</v>
      </c>
      <c r="I20" s="19">
        <f>'Baseline year demographics'!$C9</f>
        <v>1</v>
      </c>
      <c r="J20" s="19">
        <f>'Baseline year demographics'!$C9</f>
        <v>1</v>
      </c>
      <c r="K20" s="19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5">
        <v>0</v>
      </c>
      <c r="J22" s="25">
        <v>0</v>
      </c>
      <c r="K22" s="25">
        <v>0</v>
      </c>
      <c r="L22" s="15">
        <f>'Baseline year demographics'!$C$8*(1-'Baseline year demographics'!$C$9)*1*'Baseline year demographics'!$C$7</f>
        <v>0</v>
      </c>
      <c r="M22" s="15">
        <v>0</v>
      </c>
      <c r="N22" s="15">
        <v>0</v>
      </c>
      <c r="O22" s="15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5">
        <v>0</v>
      </c>
      <c r="J23" s="25">
        <v>0</v>
      </c>
      <c r="K23" s="25">
        <v>0</v>
      </c>
      <c r="L23" s="15">
        <f>'Baseline year demographics'!$C$8*(1-'Baseline year demographics'!$C$9)*(0.7)*'Baseline year demographics'!$C$7</f>
        <v>0</v>
      </c>
      <c r="M23" s="15">
        <f>'Baseline year demographics'!$C$8*(1-'Baseline year demographics'!$C$9)*(0.7)</f>
        <v>0</v>
      </c>
      <c r="N23" s="15">
        <f>'Baseline year demographics'!$C$8*(1-'Baseline year demographics'!$C$9)*(0.7)</f>
        <v>0</v>
      </c>
      <c r="O23" s="15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5">
        <v>0</v>
      </c>
      <c r="J24" s="25">
        <v>0</v>
      </c>
      <c r="K24" s="25">
        <v>0</v>
      </c>
      <c r="L24" s="15">
        <f>'Baseline year demographics'!$C$8*(1-'Baseline year demographics'!$C$9)*(0.3)*'Baseline year demographics'!$C$7</f>
        <v>0</v>
      </c>
      <c r="M24" s="15">
        <f>'Baseline year demographics'!$C$8*(1-'Baseline year demographics'!$C$9)*(0.3)</f>
        <v>0</v>
      </c>
      <c r="N24" s="15">
        <f>'Baseline year demographics'!$C$8*(1-'Baseline year demographics'!$C$9)*(0.3)</f>
        <v>0</v>
      </c>
      <c r="O24" s="15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5">
        <v>0</v>
      </c>
      <c r="J25" s="25">
        <v>0</v>
      </c>
      <c r="K25" s="25">
        <v>0</v>
      </c>
      <c r="L25" s="15">
        <f>(1-'Baseline year demographics'!$C$8)*(1-'Baseline year demographics'!$C$9)*1*'Baseline year demographics'!$C$7</f>
        <v>0</v>
      </c>
      <c r="M25" s="15">
        <v>0</v>
      </c>
      <c r="N25" s="15">
        <v>0</v>
      </c>
      <c r="O25" s="15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5">
        <v>0</v>
      </c>
      <c r="J26" s="25">
        <v>0</v>
      </c>
      <c r="K26" s="25">
        <v>0</v>
      </c>
      <c r="L26" s="15">
        <f>(1-'Baseline year demographics'!$C$8)*(1-'Baseline year demographics'!$C$9)*(0.49)*'Baseline year demographics'!$C$7</f>
        <v>0</v>
      </c>
      <c r="M26" s="15">
        <f>(1-'Baseline year demographics'!$C$8)*(1-'Baseline year demographics'!$C$9)*(0.49)</f>
        <v>0</v>
      </c>
      <c r="N26" s="15">
        <f>(1-'Baseline year demographics'!$C$8)*(1-'Baseline year demographics'!$C$9)*(0.49)</f>
        <v>0</v>
      </c>
      <c r="O26" s="15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5">
        <v>0</v>
      </c>
      <c r="J27" s="25">
        <v>0</v>
      </c>
      <c r="K27" s="25">
        <v>0</v>
      </c>
      <c r="L27" s="15">
        <f>(1-'Baseline year demographics'!$C$8)*(1-'Baseline year demographics'!$C$9)*(0.21)*'Baseline year demographics'!$C$7</f>
        <v>0</v>
      </c>
      <c r="M27" s="15">
        <f>(1-'Baseline year demographics'!$C$8)*(1-'Baseline year demographics'!$C$9)*(0.21)</f>
        <v>0</v>
      </c>
      <c r="N27" s="15">
        <f>(1-'Baseline year demographics'!$C$8)*(1-'Baseline year demographics'!$C$9)*(0.21)</f>
        <v>0</v>
      </c>
      <c r="O27" s="15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5">
        <v>0</v>
      </c>
      <c r="J28" s="25">
        <v>0</v>
      </c>
      <c r="K28" s="25">
        <v>0</v>
      </c>
      <c r="L28" s="15">
        <f>(1-'Baseline year demographics'!$C$8)*(1-'Baseline year demographics'!$C$9)*(0.3)*'Baseline year demographics'!$C$7</f>
        <v>0</v>
      </c>
      <c r="M28" s="15">
        <f>(1-'Baseline year demographics'!$C$8)*(1-'Baseline year demographics'!$C$9)*(0.3)</f>
        <v>0</v>
      </c>
      <c r="N28" s="15">
        <f>(1-'Baseline year demographics'!$C$8)*(1-'Baseline year demographics'!$C$9)*(0.3)</f>
        <v>0</v>
      </c>
      <c r="O28" s="15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5">
        <v>0</v>
      </c>
      <c r="J29" s="25">
        <v>0</v>
      </c>
      <c r="K29" s="25">
        <v>0</v>
      </c>
      <c r="L29" s="15">
        <f>'Baseline year demographics'!$C$8*('Baseline year demographics'!$C$9)*1*'Baseline year demographics'!$C$7</f>
        <v>8.3840000000000012E-2</v>
      </c>
      <c r="M29" s="15">
        <v>0</v>
      </c>
      <c r="N29" s="15">
        <v>0</v>
      </c>
      <c r="O29" s="15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5">
        <v>0</v>
      </c>
      <c r="J30" s="25">
        <v>0</v>
      </c>
      <c r="K30" s="25">
        <v>0</v>
      </c>
      <c r="L30" s="15">
        <f>'Baseline year demographics'!$C$8*('Baseline year demographics'!$C$9)*(0.7)*'Baseline year demographics'!$C$7</f>
        <v>5.8687999999999997E-2</v>
      </c>
      <c r="M30" s="15">
        <f>'Baseline year demographics'!$C$8*('Baseline year demographics'!$C$9)*(0.7)</f>
        <v>0.22399999999999998</v>
      </c>
      <c r="N30" s="15">
        <f>'Baseline year demographics'!$C$8*('Baseline year demographics'!$C$9)*(0.7)</f>
        <v>0.22399999999999998</v>
      </c>
      <c r="O30" s="15">
        <f>'Baseline year demographics'!$C$8*('Baseline year demographics'!$C$9)*(0.7)</f>
        <v>0.22399999999999998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5">
        <v>0</v>
      </c>
      <c r="J31" s="25">
        <v>0</v>
      </c>
      <c r="K31" s="25">
        <v>0</v>
      </c>
      <c r="L31" s="15">
        <f>'Baseline year demographics'!$C$8*('Baseline year demographics'!$C$9)*(0.3)*'Baseline year demographics'!$C$7</f>
        <v>2.5152000000000001E-2</v>
      </c>
      <c r="M31" s="15">
        <f>'Baseline year demographics'!$C$8*(1-'Baseline year demographics'!$C$9)*(0.3)</f>
        <v>0</v>
      </c>
      <c r="N31" s="15">
        <f>'Baseline year demographics'!$C$8*(1-'Baseline year demographics'!$C$9)*(0.3)</f>
        <v>0</v>
      </c>
      <c r="O31" s="15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5">
        <v>0</v>
      </c>
      <c r="J32" s="25">
        <v>0</v>
      </c>
      <c r="K32" s="25">
        <v>0</v>
      </c>
      <c r="L32" s="15">
        <f>(1-'Baseline year demographics'!$C$8)*('Baseline year demographics'!$C$9)*1*'Baseline year demographics'!$C$7</f>
        <v>0.17815999999999999</v>
      </c>
      <c r="M32" s="15">
        <v>0</v>
      </c>
      <c r="N32" s="15">
        <v>0</v>
      </c>
      <c r="O32" s="15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5">
        <v>0</v>
      </c>
      <c r="J33" s="25">
        <v>0</v>
      </c>
      <c r="K33" s="25">
        <v>0</v>
      </c>
      <c r="L33" s="15">
        <f>(1-'Baseline year demographics'!$C$8)*('Baseline year demographics'!$C$9)*(0.49)*'Baseline year demographics'!$C$7</f>
        <v>8.7298399999999984E-2</v>
      </c>
      <c r="M33" s="15">
        <f>(1-'Baseline year demographics'!$C$8)*('Baseline year demographics'!$C$9)*(0.49)</f>
        <v>0.33319999999999994</v>
      </c>
      <c r="N33" s="15">
        <f>(1-'Baseline year demographics'!$C$8)*('Baseline year demographics'!$C$9)*(0.49)</f>
        <v>0.33319999999999994</v>
      </c>
      <c r="O33" s="15">
        <f>(1-'Baseline year demographics'!$C$8)*('Baseline year demographics'!$C$9)*(0.49)</f>
        <v>0.33319999999999994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5">
        <v>0</v>
      </c>
      <c r="J34" s="25">
        <v>0</v>
      </c>
      <c r="K34" s="25">
        <v>0</v>
      </c>
      <c r="L34" s="15">
        <f>(1-'Baseline year demographics'!$C$8)*('Baseline year demographics'!$C$9)*(0.21)*'Baseline year demographics'!$C$7</f>
        <v>3.7413599999999998E-2</v>
      </c>
      <c r="M34" s="15">
        <f>(1-'Baseline year demographics'!$C$8)*('Baseline year demographics'!$C$9)*(0.21)</f>
        <v>0.14279999999999998</v>
      </c>
      <c r="N34" s="15">
        <f>(1-'Baseline year demographics'!$C$8)*('Baseline year demographics'!$C$9)*(0.21)</f>
        <v>0.14279999999999998</v>
      </c>
      <c r="O34" s="15">
        <f>(1-'Baseline year demographics'!$C$8)*('Baseline year demographics'!$C$9)*(0.21)</f>
        <v>0.14279999999999998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5">
        <v>0</v>
      </c>
      <c r="J35" s="25">
        <v>0</v>
      </c>
      <c r="K35" s="25">
        <v>0</v>
      </c>
      <c r="L35" s="15">
        <f>(1-'Baseline year demographics'!$C$8)*('Baseline year demographics'!$C$9)*(0.3)*'Baseline year demographics'!$C$7</f>
        <v>5.3447999999999996E-2</v>
      </c>
      <c r="M35" s="15">
        <f>(1-'Baseline year demographics'!$C$8)*('Baseline year demographics'!$C$9)*(0.3)</f>
        <v>0.20399999999999999</v>
      </c>
      <c r="N35" s="15">
        <f>(1-'Baseline year demographics'!$C$8)*('Baseline year demographics'!$C$9)*(0.3)</f>
        <v>0.20399999999999999</v>
      </c>
      <c r="O35" s="15">
        <f>(1-'Baseline year demographics'!$C$8)*('Baseline year demographics'!$C$9)*(0.3)</f>
        <v>0.20399999999999999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5">
        <v>0</v>
      </c>
      <c r="J36" s="25">
        <v>0</v>
      </c>
      <c r="K36" s="25">
        <v>0</v>
      </c>
      <c r="L36" s="100">
        <f>'Programs cost and coverage'!$B6+'Baseline year demographics'!$C12</f>
        <v>0</v>
      </c>
      <c r="M36" s="100">
        <f>'Programs cost and coverage'!$B6+'Baseline year demographics'!$C12</f>
        <v>0</v>
      </c>
      <c r="N36" s="100">
        <f>'Programs cost and coverage'!$B6+'Baseline year demographics'!$C12</f>
        <v>0</v>
      </c>
      <c r="O36" s="100">
        <f>'Programs cost and coverage'!$B6+'Baseline year demographics'!$C12</f>
        <v>0</v>
      </c>
    </row>
    <row r="37" spans="1:15" ht="15.75" customHeight="1" x14ac:dyDescent="0.15">
      <c r="B37" s="27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5">
        <v>0</v>
      </c>
      <c r="J37" s="25">
        <v>0</v>
      </c>
      <c r="K37" s="25">
        <v>0</v>
      </c>
      <c r="L37" s="15">
        <f>'Baseline year demographics'!$C$29/SUM('Baseline year demographics'!$C$29:$C$32)</f>
        <v>0</v>
      </c>
      <c r="M37" s="15">
        <f>'Baseline year demographics'!$C$29/SUM('Baseline year demographics'!$C$29:$C$32)</f>
        <v>0</v>
      </c>
      <c r="N37" s="15">
        <f>'Baseline year demographics'!$C$29/SUM('Baseline year demographics'!$C$29:$C$32)</f>
        <v>0</v>
      </c>
      <c r="O37" s="15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19">
        <f>'Baseline year demographics'!$C9</f>
        <v>1</v>
      </c>
      <c r="D49" s="19">
        <f>'Baseline year demographics'!$C9</f>
        <v>1</v>
      </c>
      <c r="E49" s="19">
        <f>'Baseline year demographics'!$C9</f>
        <v>1</v>
      </c>
      <c r="F49" s="19">
        <f>'Baseline year demographics'!$C9</f>
        <v>1</v>
      </c>
      <c r="G49" s="19">
        <f>'Baseline year demographics'!$C9</f>
        <v>1</v>
      </c>
      <c r="H49" s="19">
        <f>'Baseline year demographics'!$C9</f>
        <v>1</v>
      </c>
      <c r="I49" s="19">
        <f>'Baseline year demographics'!$C9</f>
        <v>1</v>
      </c>
      <c r="J49" s="19">
        <f>'Baseline year demographics'!$C9</f>
        <v>1</v>
      </c>
      <c r="K49" s="19">
        <f>'Baseline year demographics'!$C9</f>
        <v>1</v>
      </c>
      <c r="L49" s="19">
        <f>'Baseline year demographics'!$C9</f>
        <v>1</v>
      </c>
      <c r="M49" s="19">
        <f>'Baseline year demographics'!$C9</f>
        <v>1</v>
      </c>
      <c r="N49" s="19">
        <f>'Baseline year demographics'!$C9</f>
        <v>1</v>
      </c>
      <c r="O49" s="19">
        <f>'Baseline year demographics'!$C9</f>
        <v>1</v>
      </c>
    </row>
    <row r="50" spans="1:15" s="11" customFormat="1" ht="15.75" customHeight="1" x14ac:dyDescent="0.15">
      <c r="B50" s="12" t="s">
        <v>140</v>
      </c>
      <c r="C50" s="98">
        <v>0</v>
      </c>
      <c r="D50" s="98">
        <v>0</v>
      </c>
      <c r="E50" s="102">
        <f>'Baseline year demographics'!$C29</f>
        <v>0</v>
      </c>
      <c r="F50" s="102">
        <f>'Baseline year demographics'!$C29</f>
        <v>0</v>
      </c>
      <c r="G50" s="102">
        <f>'Baseline year demographics'!$C29</f>
        <v>0</v>
      </c>
      <c r="H50" s="102">
        <f>'Baseline year demographics'!$C29</f>
        <v>0</v>
      </c>
      <c r="I50" s="102">
        <f>'Baseline year demographics'!$C29</f>
        <v>0</v>
      </c>
      <c r="J50" s="102">
        <f>'Baseline year demographics'!$C29</f>
        <v>0</v>
      </c>
      <c r="K50" s="102">
        <f>'Baseline year demographics'!$C29</f>
        <v>0</v>
      </c>
      <c r="L50" s="102">
        <f>'Baseline year demographics'!$C29</f>
        <v>0</v>
      </c>
      <c r="M50" s="102">
        <f>'Baseline year demographics'!$C29</f>
        <v>0</v>
      </c>
      <c r="N50" s="102">
        <f>'Baseline year demographics'!$C29</f>
        <v>0</v>
      </c>
      <c r="O50" s="102">
        <f>'Baseline year demographics'!$C29</f>
        <v>0</v>
      </c>
    </row>
    <row r="51" spans="1:15" s="11" customFormat="1" ht="15.75" customHeight="1" x14ac:dyDescent="0.15">
      <c r="B51" s="12" t="s">
        <v>141</v>
      </c>
      <c r="C51" s="98">
        <v>0</v>
      </c>
      <c r="D51" s="98">
        <v>0</v>
      </c>
      <c r="E51" s="98">
        <f>'Baseline year demographics'!$C30</f>
        <v>0.88</v>
      </c>
      <c r="F51" s="98">
        <f>'Baseline year demographics'!$C30</f>
        <v>0.88</v>
      </c>
      <c r="G51" s="98">
        <f>'Baseline year demographics'!$C30</f>
        <v>0.88</v>
      </c>
      <c r="H51" s="98">
        <f>'Baseline year demographics'!$C30</f>
        <v>0.88</v>
      </c>
      <c r="I51" s="98">
        <f>'Baseline year demographics'!$C30</f>
        <v>0.88</v>
      </c>
      <c r="J51" s="98">
        <f>'Baseline year demographics'!$C30</f>
        <v>0.88</v>
      </c>
      <c r="K51" s="98">
        <f>'Baseline year demographics'!$C30</f>
        <v>0.88</v>
      </c>
      <c r="L51" s="98">
        <f>'Baseline year demographics'!$C30</f>
        <v>0.88</v>
      </c>
      <c r="M51" s="98">
        <f>'Baseline year demographics'!$C30</f>
        <v>0.88</v>
      </c>
      <c r="N51" s="98">
        <f>'Baseline year demographics'!$C30</f>
        <v>0.88</v>
      </c>
      <c r="O51" s="98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98">
        <v>0</v>
      </c>
      <c r="D52" s="98">
        <v>0</v>
      </c>
      <c r="E52" s="98">
        <f>'Baseline year demographics'!$C28</f>
        <v>0</v>
      </c>
      <c r="F52" s="98">
        <f>'Baseline year demographics'!$C28</f>
        <v>0</v>
      </c>
      <c r="G52" s="98">
        <f>'Baseline year demographics'!$C28</f>
        <v>0</v>
      </c>
      <c r="H52" s="98">
        <f>'Baseline year demographics'!$C28</f>
        <v>0</v>
      </c>
      <c r="I52" s="98">
        <f>'Baseline year demographics'!$C28</f>
        <v>0</v>
      </c>
      <c r="J52" s="98">
        <f>'Baseline year demographics'!$C28</f>
        <v>0</v>
      </c>
      <c r="K52" s="98">
        <f>'Baseline year demographics'!$C28</f>
        <v>0</v>
      </c>
      <c r="L52" s="98">
        <f>'Baseline year demographics'!$C28</f>
        <v>0</v>
      </c>
      <c r="M52" s="98">
        <f>'Baseline year demographics'!$C28</f>
        <v>0</v>
      </c>
      <c r="N52" s="98">
        <f>'Baseline year demographics'!$C28</f>
        <v>0</v>
      </c>
      <c r="O52" s="98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19">
        <v>1</v>
      </c>
      <c r="F53" s="19">
        <v>1</v>
      </c>
      <c r="G53" s="19">
        <v>1</v>
      </c>
      <c r="H53" s="19">
        <v>1</v>
      </c>
      <c r="I53" s="19">
        <v>1</v>
      </c>
      <c r="J53" s="19">
        <v>1</v>
      </c>
      <c r="K53" s="19">
        <v>1</v>
      </c>
      <c r="L53" s="19">
        <v>1</v>
      </c>
      <c r="M53" s="19">
        <v>1</v>
      </c>
      <c r="N53" s="19">
        <v>1</v>
      </c>
      <c r="O53" s="19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36" t="s">
        <v>52</v>
      </c>
      <c r="C2" s="25">
        <v>1</v>
      </c>
      <c r="D2" s="25">
        <v>1</v>
      </c>
      <c r="E2" s="25">
        <v>0</v>
      </c>
      <c r="F2" s="25">
        <v>0</v>
      </c>
      <c r="G2" s="25">
        <v>0</v>
      </c>
      <c r="H2" s="25">
        <v>1</v>
      </c>
      <c r="I2" s="25">
        <v>1</v>
      </c>
      <c r="J2" s="25">
        <v>1</v>
      </c>
      <c r="K2" s="25">
        <v>1</v>
      </c>
      <c r="L2" s="25">
        <v>0</v>
      </c>
      <c r="M2" s="25">
        <v>0</v>
      </c>
      <c r="N2" s="25">
        <v>0</v>
      </c>
      <c r="O2" s="25">
        <v>0</v>
      </c>
    </row>
    <row r="3" spans="1:15" x14ac:dyDescent="0.15">
      <c r="A3" s="10"/>
      <c r="B3" s="4" t="s">
        <v>136</v>
      </c>
      <c r="C3" s="25">
        <v>0</v>
      </c>
      <c r="D3" s="25">
        <v>0</v>
      </c>
      <c r="E3" s="25">
        <v>1</v>
      </c>
      <c r="F3" s="25">
        <v>1</v>
      </c>
      <c r="G3" s="25">
        <v>1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</row>
    <row r="4" spans="1:15" x14ac:dyDescent="0.15">
      <c r="B4" s="4" t="s">
        <v>47</v>
      </c>
      <c r="C4" s="25">
        <v>0</v>
      </c>
      <c r="D4" s="25">
        <v>0</v>
      </c>
      <c r="E4" s="25">
        <v>1</v>
      </c>
      <c r="F4" s="25">
        <v>1</v>
      </c>
      <c r="G4" s="25">
        <v>1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</row>
    <row r="5" spans="1:15" x14ac:dyDescent="0.15">
      <c r="B5" s="36" t="s">
        <v>53</v>
      </c>
      <c r="C5" s="25">
        <v>0</v>
      </c>
      <c r="D5" s="25">
        <v>0</v>
      </c>
      <c r="E5" s="25">
        <v>1</v>
      </c>
      <c r="F5" s="25">
        <v>1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</row>
    <row r="6" spans="1:15" x14ac:dyDescent="0.15">
      <c r="B6" s="4" t="s">
        <v>123</v>
      </c>
      <c r="C6" s="25">
        <v>0</v>
      </c>
      <c r="D6" s="25">
        <v>0</v>
      </c>
      <c r="E6" s="25">
        <v>1</v>
      </c>
      <c r="F6" s="25">
        <v>1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</row>
    <row r="7" spans="1:15" x14ac:dyDescent="0.15">
      <c r="B7" s="4" t="s">
        <v>74</v>
      </c>
      <c r="C7" s="25">
        <v>0</v>
      </c>
      <c r="D7" s="25">
        <v>0</v>
      </c>
      <c r="E7" s="25">
        <v>1</v>
      </c>
      <c r="F7" s="25">
        <v>1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</row>
    <row r="8" spans="1:15" x14ac:dyDescent="0.15">
      <c r="B8" s="4" t="s">
        <v>132</v>
      </c>
      <c r="C8" s="25">
        <v>0</v>
      </c>
      <c r="D8" s="25">
        <v>0</v>
      </c>
      <c r="E8" s="25">
        <v>1</v>
      </c>
      <c r="F8" s="25">
        <v>1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</row>
    <row r="9" spans="1:15" x14ac:dyDescent="0.15">
      <c r="B9" s="4" t="s">
        <v>73</v>
      </c>
      <c r="C9" s="25">
        <v>0</v>
      </c>
      <c r="D9" s="25">
        <v>0</v>
      </c>
      <c r="E9" s="25">
        <v>1</v>
      </c>
      <c r="F9" s="25">
        <v>1</v>
      </c>
      <c r="G9" s="25">
        <v>1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</row>
    <row r="10" spans="1:15" x14ac:dyDescent="0.15">
      <c r="B10" s="4" t="s">
        <v>133</v>
      </c>
      <c r="C10" s="25">
        <v>0</v>
      </c>
      <c r="D10" s="25">
        <v>0</v>
      </c>
      <c r="E10" s="25">
        <v>1</v>
      </c>
      <c r="F10" s="25">
        <v>1</v>
      </c>
      <c r="G10" s="25">
        <v>1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</row>
    <row r="11" spans="1:15" x14ac:dyDescent="0.15">
      <c r="B11" s="4" t="s">
        <v>139</v>
      </c>
      <c r="C11" s="103">
        <v>0</v>
      </c>
      <c r="D11" s="103">
        <v>1</v>
      </c>
      <c r="E11" s="25">
        <v>1</v>
      </c>
      <c r="F11" s="25">
        <v>1</v>
      </c>
      <c r="G11" s="103">
        <v>1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</row>
    <row r="12" spans="1:15" x14ac:dyDescent="0.15">
      <c r="B12" s="4" t="s">
        <v>147</v>
      </c>
      <c r="C12" s="103">
        <v>0</v>
      </c>
      <c r="D12" s="103">
        <v>1</v>
      </c>
      <c r="E12" s="103">
        <v>1</v>
      </c>
      <c r="F12" s="103">
        <v>1</v>
      </c>
      <c r="G12" s="103">
        <v>1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</row>
    <row r="13" spans="1:15" x14ac:dyDescent="0.15">
      <c r="B13" s="4" t="s">
        <v>148</v>
      </c>
      <c r="C13" s="103">
        <v>0</v>
      </c>
      <c r="D13" s="103">
        <v>1</v>
      </c>
      <c r="E13" s="103">
        <v>1</v>
      </c>
      <c r="F13" s="103">
        <v>1</v>
      </c>
      <c r="G13" s="103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</row>
    <row r="14" spans="1:15" x14ac:dyDescent="0.15"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</row>
    <row r="15" spans="1:15" x14ac:dyDescent="0.15">
      <c r="A15" s="10" t="s">
        <v>72</v>
      </c>
      <c r="B15" t="s">
        <v>54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1</v>
      </c>
      <c r="I15" s="25">
        <v>1</v>
      </c>
      <c r="J15" s="25">
        <v>1</v>
      </c>
      <c r="K15" s="25">
        <v>1</v>
      </c>
      <c r="L15" s="25">
        <v>0</v>
      </c>
      <c r="M15" s="25">
        <v>0</v>
      </c>
      <c r="N15" s="25">
        <v>0</v>
      </c>
      <c r="O15" s="25">
        <v>0</v>
      </c>
    </row>
    <row r="16" spans="1:15" x14ac:dyDescent="0.15">
      <c r="A16" s="10"/>
      <c r="B16" t="s">
        <v>131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1</v>
      </c>
      <c r="I16" s="25">
        <v>1</v>
      </c>
      <c r="J16" s="25">
        <v>1</v>
      </c>
      <c r="K16" s="25">
        <v>1</v>
      </c>
      <c r="L16" s="25">
        <v>0</v>
      </c>
      <c r="M16" s="25">
        <v>0</v>
      </c>
      <c r="N16" s="25">
        <v>0</v>
      </c>
      <c r="O16" s="25">
        <v>0</v>
      </c>
    </row>
    <row r="17" spans="1:15" x14ac:dyDescent="0.15">
      <c r="B17" t="s">
        <v>134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1</v>
      </c>
      <c r="I17" s="25">
        <v>1</v>
      </c>
      <c r="J17" s="25">
        <v>1</v>
      </c>
      <c r="K17" s="25">
        <v>1</v>
      </c>
      <c r="L17" s="25">
        <v>0</v>
      </c>
      <c r="M17" s="25">
        <v>0</v>
      </c>
      <c r="N17" s="25">
        <v>0</v>
      </c>
      <c r="O17" s="25">
        <v>0</v>
      </c>
    </row>
    <row r="18" spans="1:15" x14ac:dyDescent="0.15">
      <c r="B18" s="4" t="s">
        <v>76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1</v>
      </c>
      <c r="I18" s="25">
        <v>1</v>
      </c>
      <c r="J18" s="25">
        <v>1</v>
      </c>
      <c r="K18" s="25">
        <v>1</v>
      </c>
      <c r="L18" s="25">
        <v>0</v>
      </c>
      <c r="M18" s="25">
        <v>0</v>
      </c>
      <c r="N18" s="25">
        <v>0</v>
      </c>
      <c r="O18" s="25">
        <v>0</v>
      </c>
    </row>
    <row r="19" spans="1:15" x14ac:dyDescent="0.15">
      <c r="B19" s="4" t="s">
        <v>135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1</v>
      </c>
      <c r="I19" s="25">
        <v>1</v>
      </c>
      <c r="J19" s="25">
        <v>1</v>
      </c>
      <c r="K19" s="25">
        <v>1</v>
      </c>
      <c r="L19" s="25">
        <v>0</v>
      </c>
      <c r="M19" s="25">
        <v>0</v>
      </c>
      <c r="N19" s="25">
        <v>0</v>
      </c>
      <c r="O19" s="25">
        <v>0</v>
      </c>
    </row>
    <row r="20" spans="1:15" x14ac:dyDescent="0.15">
      <c r="B20" t="s">
        <v>115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1</v>
      </c>
      <c r="I20" s="25">
        <v>1</v>
      </c>
      <c r="J20" s="25">
        <v>1</v>
      </c>
      <c r="K20" s="25">
        <v>1</v>
      </c>
      <c r="L20" s="25">
        <v>0</v>
      </c>
      <c r="M20" s="25">
        <v>0</v>
      </c>
      <c r="N20" s="25">
        <v>0</v>
      </c>
      <c r="O20" s="25">
        <v>0</v>
      </c>
    </row>
    <row r="21" spans="1:15" x14ac:dyDescent="0.15">
      <c r="B21" t="s">
        <v>157</v>
      </c>
      <c r="C21" s="25">
        <v>1</v>
      </c>
      <c r="D21" s="25">
        <v>1</v>
      </c>
      <c r="E21" s="25">
        <v>1</v>
      </c>
      <c r="F21" s="25">
        <v>1</v>
      </c>
      <c r="G21" s="25">
        <v>1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</row>
    <row r="22" spans="1:15" x14ac:dyDescent="0.15">
      <c r="B22" t="s">
        <v>158</v>
      </c>
      <c r="C22" s="25">
        <v>1</v>
      </c>
      <c r="D22" s="25">
        <v>1</v>
      </c>
      <c r="E22" s="25">
        <v>1</v>
      </c>
      <c r="F22" s="25">
        <v>1</v>
      </c>
      <c r="G22" s="25">
        <v>1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</row>
    <row r="23" spans="1:15" x14ac:dyDescent="0.15">
      <c r="B23" t="s">
        <v>159</v>
      </c>
      <c r="C23" s="25">
        <v>1</v>
      </c>
      <c r="D23" s="25">
        <v>1</v>
      </c>
      <c r="E23" s="25">
        <v>1</v>
      </c>
      <c r="F23" s="25">
        <v>1</v>
      </c>
      <c r="G23" s="25">
        <v>1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</row>
    <row r="24" spans="1:15" x14ac:dyDescent="0.15"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</row>
    <row r="25" spans="1:15" x14ac:dyDescent="0.15">
      <c r="A25" s="10" t="s">
        <v>80</v>
      </c>
      <c r="B25" t="s">
        <v>116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1</v>
      </c>
      <c r="M25" s="25">
        <v>0</v>
      </c>
      <c r="N25" s="25">
        <v>0</v>
      </c>
      <c r="O25" s="25">
        <v>0</v>
      </c>
    </row>
    <row r="26" spans="1:15" x14ac:dyDescent="0.15">
      <c r="B26" t="s">
        <v>117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1</v>
      </c>
      <c r="M26" s="25">
        <v>1</v>
      </c>
      <c r="N26" s="25">
        <v>1</v>
      </c>
      <c r="O26" s="25">
        <v>1</v>
      </c>
    </row>
    <row r="27" spans="1:15" x14ac:dyDescent="0.15">
      <c r="B27" t="s">
        <v>118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1</v>
      </c>
      <c r="M27" s="25">
        <v>1</v>
      </c>
      <c r="N27" s="25">
        <v>1</v>
      </c>
      <c r="O27" s="25">
        <v>1</v>
      </c>
    </row>
    <row r="28" spans="1:15" x14ac:dyDescent="0.15">
      <c r="B28" t="s">
        <v>119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1</v>
      </c>
      <c r="M28" s="25">
        <v>0</v>
      </c>
      <c r="N28" s="25">
        <v>0</v>
      </c>
      <c r="O28" s="25">
        <v>0</v>
      </c>
    </row>
    <row r="29" spans="1:15" x14ac:dyDescent="0.15">
      <c r="B29" t="s">
        <v>120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1</v>
      </c>
      <c r="M29" s="25">
        <v>1</v>
      </c>
      <c r="N29" s="25">
        <v>1</v>
      </c>
      <c r="O29" s="25">
        <v>1</v>
      </c>
    </row>
    <row r="30" spans="1:15" x14ac:dyDescent="0.15">
      <c r="B30" t="s">
        <v>121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1</v>
      </c>
      <c r="M30" s="25">
        <v>1</v>
      </c>
      <c r="N30" s="25">
        <v>1</v>
      </c>
      <c r="O30" s="25">
        <v>1</v>
      </c>
    </row>
    <row r="31" spans="1:15" x14ac:dyDescent="0.15">
      <c r="B31" t="s">
        <v>122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1</v>
      </c>
      <c r="M31" s="25">
        <v>1</v>
      </c>
      <c r="N31" s="25">
        <v>1</v>
      </c>
      <c r="O31" s="25">
        <v>1</v>
      </c>
    </row>
    <row r="32" spans="1:15" x14ac:dyDescent="0.15">
      <c r="A32" s="10"/>
      <c r="B32" t="s">
        <v>124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1</v>
      </c>
      <c r="M32" s="25">
        <v>0</v>
      </c>
      <c r="N32" s="25">
        <v>0</v>
      </c>
      <c r="O32" s="25">
        <v>0</v>
      </c>
    </row>
    <row r="33" spans="1:15" x14ac:dyDescent="0.15">
      <c r="B33" t="s">
        <v>125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1</v>
      </c>
      <c r="M33" s="25">
        <v>1</v>
      </c>
      <c r="N33" s="25">
        <v>1</v>
      </c>
      <c r="O33" s="25">
        <v>1</v>
      </c>
    </row>
    <row r="34" spans="1:15" x14ac:dyDescent="0.15">
      <c r="B34" t="s">
        <v>126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1</v>
      </c>
      <c r="M34" s="25">
        <v>1</v>
      </c>
      <c r="N34" s="25">
        <v>1</v>
      </c>
      <c r="O34" s="25">
        <v>1</v>
      </c>
    </row>
    <row r="35" spans="1:15" x14ac:dyDescent="0.15">
      <c r="B35" t="s">
        <v>127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1</v>
      </c>
      <c r="M35" s="25">
        <v>0</v>
      </c>
      <c r="N35" s="25">
        <v>0</v>
      </c>
      <c r="O35" s="25">
        <v>0</v>
      </c>
    </row>
    <row r="36" spans="1:15" x14ac:dyDescent="0.15">
      <c r="B36" t="s">
        <v>128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1</v>
      </c>
      <c r="M36" s="25">
        <v>1</v>
      </c>
      <c r="N36" s="25">
        <v>1</v>
      </c>
      <c r="O36" s="25">
        <v>1</v>
      </c>
    </row>
    <row r="37" spans="1:15" x14ac:dyDescent="0.15">
      <c r="B37" t="s">
        <v>129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1</v>
      </c>
      <c r="M37" s="25">
        <v>1</v>
      </c>
      <c r="N37" s="25">
        <v>1</v>
      </c>
      <c r="O37" s="25">
        <v>1</v>
      </c>
    </row>
    <row r="38" spans="1:15" x14ac:dyDescent="0.15">
      <c r="B38" t="s">
        <v>130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1</v>
      </c>
      <c r="M38" s="25">
        <v>1</v>
      </c>
      <c r="N38" s="25">
        <v>1</v>
      </c>
      <c r="O38" s="25">
        <v>1</v>
      </c>
    </row>
    <row r="39" spans="1:15" x14ac:dyDescent="0.15">
      <c r="B39" t="s">
        <v>181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6">
        <v>1</v>
      </c>
      <c r="M39" s="26">
        <v>1</v>
      </c>
      <c r="N39" s="26">
        <v>1</v>
      </c>
      <c r="O39" s="26">
        <v>1</v>
      </c>
    </row>
    <row r="40" spans="1:15" x14ac:dyDescent="0.15">
      <c r="B40" s="11" t="s">
        <v>240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1</v>
      </c>
      <c r="M40" s="25">
        <v>1</v>
      </c>
      <c r="N40" s="25">
        <v>1</v>
      </c>
      <c r="O40" s="25">
        <v>1</v>
      </c>
    </row>
    <row r="41" spans="1:15" x14ac:dyDescent="0.15">
      <c r="B41" s="12"/>
      <c r="C41" s="25"/>
      <c r="D41" s="25"/>
      <c r="E41" s="105"/>
      <c r="F41" s="105"/>
      <c r="G41" s="105"/>
      <c r="H41" s="105"/>
      <c r="I41" s="105"/>
      <c r="J41" s="104"/>
      <c r="K41" s="104"/>
      <c r="L41" s="104"/>
      <c r="M41" s="104"/>
      <c r="N41" s="104"/>
      <c r="O41" s="104"/>
    </row>
    <row r="42" spans="1:15" x14ac:dyDescent="0.15">
      <c r="A42" s="10" t="s">
        <v>78</v>
      </c>
      <c r="B42" t="s">
        <v>204</v>
      </c>
      <c r="C42" s="25">
        <v>1</v>
      </c>
      <c r="D42" s="25">
        <v>1</v>
      </c>
      <c r="E42" s="25">
        <v>1</v>
      </c>
      <c r="F42" s="25">
        <v>1</v>
      </c>
      <c r="G42" s="25">
        <v>1</v>
      </c>
      <c r="H42" s="25">
        <v>1</v>
      </c>
      <c r="I42" s="25">
        <v>1</v>
      </c>
      <c r="J42" s="25">
        <v>1</v>
      </c>
      <c r="K42" s="25">
        <v>1</v>
      </c>
      <c r="L42" s="25">
        <v>1</v>
      </c>
      <c r="M42" s="25">
        <v>1</v>
      </c>
      <c r="N42" s="25">
        <v>1</v>
      </c>
      <c r="O42" s="25">
        <v>1</v>
      </c>
    </row>
    <row r="43" spans="1:15" x14ac:dyDescent="0.15">
      <c r="B43" t="s">
        <v>205</v>
      </c>
      <c r="C43" s="25">
        <v>1</v>
      </c>
      <c r="D43" s="25">
        <v>1</v>
      </c>
      <c r="E43" s="25">
        <v>1</v>
      </c>
      <c r="F43" s="25">
        <v>1</v>
      </c>
      <c r="G43" s="25">
        <v>1</v>
      </c>
      <c r="H43" s="25">
        <v>1</v>
      </c>
      <c r="I43" s="25">
        <v>1</v>
      </c>
      <c r="J43" s="25">
        <v>1</v>
      </c>
      <c r="K43" s="25">
        <v>1</v>
      </c>
      <c r="L43" s="25">
        <v>1</v>
      </c>
      <c r="M43" s="25">
        <v>1</v>
      </c>
      <c r="N43" s="25">
        <v>1</v>
      </c>
      <c r="O43" s="25">
        <v>1</v>
      </c>
    </row>
    <row r="44" spans="1:15" x14ac:dyDescent="0.15">
      <c r="B44" t="s">
        <v>206</v>
      </c>
      <c r="C44" s="25">
        <v>1</v>
      </c>
      <c r="D44" s="25">
        <v>1</v>
      </c>
      <c r="E44" s="25">
        <v>1</v>
      </c>
      <c r="F44" s="25">
        <v>1</v>
      </c>
      <c r="G44" s="25">
        <v>1</v>
      </c>
      <c r="H44" s="25">
        <v>1</v>
      </c>
      <c r="I44" s="25">
        <v>1</v>
      </c>
      <c r="J44" s="25">
        <v>1</v>
      </c>
      <c r="K44" s="25">
        <v>1</v>
      </c>
      <c r="L44" s="25">
        <v>1</v>
      </c>
      <c r="M44" s="25">
        <v>1</v>
      </c>
      <c r="N44" s="25">
        <v>1</v>
      </c>
      <c r="O44" s="25">
        <v>1</v>
      </c>
    </row>
    <row r="45" spans="1:15" x14ac:dyDescent="0.15">
      <c r="B45" t="s">
        <v>207</v>
      </c>
      <c r="C45" s="25">
        <v>1</v>
      </c>
      <c r="D45" s="25">
        <v>1</v>
      </c>
      <c r="E45" s="25">
        <v>1</v>
      </c>
      <c r="F45" s="25">
        <v>1</v>
      </c>
      <c r="G45" s="25">
        <v>1</v>
      </c>
      <c r="H45" s="25">
        <v>1</v>
      </c>
      <c r="I45" s="25">
        <v>1</v>
      </c>
      <c r="J45" s="25">
        <v>1</v>
      </c>
      <c r="K45" s="25">
        <v>1</v>
      </c>
      <c r="L45" s="25">
        <v>1</v>
      </c>
      <c r="M45" s="25">
        <v>1</v>
      </c>
      <c r="N45" s="25">
        <v>1</v>
      </c>
      <c r="O45" s="25">
        <v>1</v>
      </c>
    </row>
    <row r="46" spans="1:15" x14ac:dyDescent="0.15">
      <c r="B46" t="s">
        <v>208</v>
      </c>
      <c r="C46" s="25">
        <v>1</v>
      </c>
      <c r="D46" s="25">
        <v>1</v>
      </c>
      <c r="E46" s="25">
        <v>1</v>
      </c>
      <c r="F46" s="25">
        <v>1</v>
      </c>
      <c r="G46" s="25">
        <v>1</v>
      </c>
      <c r="H46" s="25">
        <v>1</v>
      </c>
      <c r="I46" s="25">
        <v>1</v>
      </c>
      <c r="J46" s="25">
        <v>1</v>
      </c>
      <c r="K46" s="25">
        <v>1</v>
      </c>
      <c r="L46" s="25">
        <v>1</v>
      </c>
      <c r="M46" s="25">
        <v>1</v>
      </c>
      <c r="N46" s="25">
        <v>1</v>
      </c>
      <c r="O46" s="25">
        <v>1</v>
      </c>
    </row>
    <row r="47" spans="1:15" x14ac:dyDescent="0.15">
      <c r="B47" t="s">
        <v>209</v>
      </c>
      <c r="C47" s="25">
        <v>1</v>
      </c>
      <c r="D47" s="25">
        <v>1</v>
      </c>
      <c r="E47" s="25">
        <v>1</v>
      </c>
      <c r="F47" s="25">
        <v>1</v>
      </c>
      <c r="G47" s="25">
        <v>1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</row>
    <row r="48" spans="1:15" x14ac:dyDescent="0.15">
      <c r="B48" t="s">
        <v>213</v>
      </c>
      <c r="C48" s="25">
        <v>1</v>
      </c>
      <c r="D48" s="25">
        <v>1</v>
      </c>
      <c r="E48" s="25">
        <v>1</v>
      </c>
      <c r="F48" s="25">
        <v>1</v>
      </c>
      <c r="G48" s="25">
        <v>1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</row>
    <row r="49" spans="1:15" x14ac:dyDescent="0.15">
      <c r="B49" s="4" t="s">
        <v>210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1</v>
      </c>
      <c r="I49" s="25">
        <v>1</v>
      </c>
      <c r="J49" s="25">
        <v>1</v>
      </c>
      <c r="K49" s="25">
        <v>1</v>
      </c>
      <c r="L49" s="25">
        <v>0</v>
      </c>
      <c r="M49" s="25">
        <v>0</v>
      </c>
      <c r="N49" s="25">
        <v>0</v>
      </c>
      <c r="O49" s="25">
        <v>0</v>
      </c>
    </row>
    <row r="50" spans="1:15" x14ac:dyDescent="0.15">
      <c r="B50" s="4" t="s">
        <v>211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1</v>
      </c>
      <c r="I50" s="25">
        <v>1</v>
      </c>
      <c r="J50" s="25">
        <v>1</v>
      </c>
      <c r="K50" s="25">
        <v>1</v>
      </c>
      <c r="L50" s="25">
        <v>0</v>
      </c>
      <c r="M50" s="25">
        <v>0</v>
      </c>
      <c r="N50" s="25">
        <v>0</v>
      </c>
      <c r="O50" s="25">
        <v>0</v>
      </c>
    </row>
    <row r="51" spans="1:15" x14ac:dyDescent="0.15">
      <c r="B51" s="4" t="s">
        <v>212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1</v>
      </c>
      <c r="I51" s="25">
        <v>1</v>
      </c>
      <c r="J51" s="25">
        <v>1</v>
      </c>
      <c r="K51" s="25">
        <v>1</v>
      </c>
      <c r="L51" s="25">
        <v>0</v>
      </c>
      <c r="M51" s="25">
        <v>0</v>
      </c>
      <c r="N51" s="25">
        <v>0</v>
      </c>
      <c r="O51" s="25">
        <v>0</v>
      </c>
    </row>
    <row r="52" spans="1:15" x14ac:dyDescent="0.15">
      <c r="A52" s="11"/>
      <c r="B52" s="12" t="s">
        <v>77</v>
      </c>
      <c r="C52" s="26">
        <v>1</v>
      </c>
      <c r="D52" s="26">
        <v>1</v>
      </c>
      <c r="E52" s="26">
        <v>1</v>
      </c>
      <c r="F52" s="26">
        <v>1</v>
      </c>
      <c r="G52" s="26">
        <v>1</v>
      </c>
      <c r="H52" s="26">
        <v>1</v>
      </c>
      <c r="I52" s="26">
        <v>1</v>
      </c>
      <c r="J52" s="26">
        <v>1</v>
      </c>
      <c r="K52" s="26">
        <v>1</v>
      </c>
      <c r="L52" s="26">
        <v>1</v>
      </c>
      <c r="M52" s="26">
        <v>1</v>
      </c>
      <c r="N52" s="26">
        <v>1</v>
      </c>
      <c r="O52" s="26">
        <v>1</v>
      </c>
    </row>
    <row r="53" spans="1:15" s="11" customFormat="1" x14ac:dyDescent="0.15">
      <c r="B53" s="12" t="s">
        <v>140</v>
      </c>
      <c r="C53" s="103">
        <v>1</v>
      </c>
      <c r="D53" s="103">
        <v>0</v>
      </c>
      <c r="E53" s="106">
        <v>1</v>
      </c>
      <c r="F53" s="106">
        <v>1</v>
      </c>
      <c r="G53" s="106">
        <v>1</v>
      </c>
      <c r="H53" s="106">
        <v>1</v>
      </c>
      <c r="I53" s="106">
        <v>1</v>
      </c>
      <c r="J53" s="106">
        <v>1</v>
      </c>
      <c r="K53" s="106">
        <v>1</v>
      </c>
      <c r="L53" s="106">
        <v>1</v>
      </c>
      <c r="M53" s="106">
        <v>1</v>
      </c>
      <c r="N53" s="106">
        <v>1</v>
      </c>
      <c r="O53" s="106">
        <v>1</v>
      </c>
    </row>
    <row r="54" spans="1:15" s="11" customFormat="1" x14ac:dyDescent="0.15">
      <c r="B54" s="12" t="s">
        <v>141</v>
      </c>
      <c r="C54" s="103">
        <v>1</v>
      </c>
      <c r="D54" s="103">
        <v>0</v>
      </c>
      <c r="E54" s="103">
        <v>1</v>
      </c>
      <c r="F54" s="103">
        <v>1</v>
      </c>
      <c r="G54" s="103">
        <v>1</v>
      </c>
      <c r="H54" s="103">
        <v>1</v>
      </c>
      <c r="I54" s="103">
        <v>1</v>
      </c>
      <c r="J54" s="103">
        <v>1</v>
      </c>
      <c r="K54" s="103">
        <v>1</v>
      </c>
      <c r="L54" s="103">
        <v>1</v>
      </c>
      <c r="M54" s="103">
        <v>1</v>
      </c>
      <c r="N54" s="103">
        <v>1</v>
      </c>
      <c r="O54" s="103">
        <v>1</v>
      </c>
    </row>
    <row r="55" spans="1:15" s="11" customFormat="1" x14ac:dyDescent="0.15">
      <c r="B55" s="12" t="s">
        <v>142</v>
      </c>
      <c r="C55" s="103">
        <v>1</v>
      </c>
      <c r="D55" s="103">
        <v>0</v>
      </c>
      <c r="E55" s="103">
        <v>1</v>
      </c>
      <c r="F55" s="103">
        <v>1</v>
      </c>
      <c r="G55" s="103">
        <v>1</v>
      </c>
      <c r="H55" s="103">
        <v>1</v>
      </c>
      <c r="I55" s="103">
        <v>1</v>
      </c>
      <c r="J55" s="103">
        <v>1</v>
      </c>
      <c r="K55" s="103">
        <v>1</v>
      </c>
      <c r="L55" s="103">
        <v>1</v>
      </c>
      <c r="M55" s="103">
        <v>1</v>
      </c>
      <c r="N55" s="103">
        <v>1</v>
      </c>
      <c r="O55" s="103">
        <v>1</v>
      </c>
    </row>
    <row r="56" spans="1:15" x14ac:dyDescent="0.15">
      <c r="B56" s="4" t="s">
        <v>93</v>
      </c>
      <c r="C56" s="3">
        <v>1</v>
      </c>
      <c r="D56" s="3">
        <v>0</v>
      </c>
      <c r="E56" s="19">
        <v>1</v>
      </c>
      <c r="F56" s="19">
        <v>1</v>
      </c>
      <c r="G56" s="19">
        <v>1</v>
      </c>
      <c r="H56" s="19">
        <v>1</v>
      </c>
      <c r="I56" s="19">
        <v>1</v>
      </c>
      <c r="J56" s="19">
        <v>1</v>
      </c>
      <c r="K56" s="19">
        <v>1</v>
      </c>
      <c r="L56" s="19">
        <v>1</v>
      </c>
      <c r="M56" s="19">
        <v>1</v>
      </c>
      <c r="N56" s="19">
        <v>1</v>
      </c>
      <c r="O56" s="19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1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7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46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5" t="s">
        <v>161</v>
      </c>
      <c r="G48" s="85" t="s">
        <v>161</v>
      </c>
      <c r="H48" s="85" t="s">
        <v>161</v>
      </c>
    </row>
    <row r="49" spans="1:6" x14ac:dyDescent="0.15">
      <c r="A49" s="107" t="s">
        <v>157</v>
      </c>
      <c r="B49" t="s">
        <v>161</v>
      </c>
      <c r="F49" t="s">
        <v>161</v>
      </c>
    </row>
    <row r="50" spans="1:6" x14ac:dyDescent="0.15">
      <c r="A50" s="107" t="s">
        <v>158</v>
      </c>
      <c r="B50" t="s">
        <v>161</v>
      </c>
      <c r="F50" t="s">
        <v>161</v>
      </c>
    </row>
    <row r="51" spans="1:6" x14ac:dyDescent="0.15">
      <c r="A51" s="107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B41" sqref="B41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08" t="s">
        <v>237</v>
      </c>
      <c r="B1" s="108" t="s">
        <v>251</v>
      </c>
      <c r="C1" s="108" t="s">
        <v>137</v>
      </c>
      <c r="D1" s="108" t="s">
        <v>138</v>
      </c>
    </row>
    <row r="2" spans="1:4" ht="15.75" customHeight="1" x14ac:dyDescent="0.2">
      <c r="A2" s="111" t="s">
        <v>54</v>
      </c>
      <c r="B2" s="112">
        <v>0</v>
      </c>
      <c r="C2" s="111">
        <v>0.95</v>
      </c>
      <c r="D2" s="111">
        <v>25</v>
      </c>
    </row>
    <row r="3" spans="1:4" ht="15.75" customHeight="1" x14ac:dyDescent="0.2">
      <c r="A3" s="111" t="s">
        <v>240</v>
      </c>
      <c r="B3" s="112">
        <v>0</v>
      </c>
      <c r="C3" s="111">
        <v>0.95</v>
      </c>
      <c r="D3" s="111">
        <v>0.8</v>
      </c>
    </row>
    <row r="4" spans="1:4" ht="15.75" customHeight="1" x14ac:dyDescent="0.2">
      <c r="A4" s="111" t="s">
        <v>210</v>
      </c>
      <c r="B4" s="112">
        <v>0</v>
      </c>
      <c r="C4" s="111">
        <v>0.95</v>
      </c>
      <c r="D4" s="111">
        <v>7</v>
      </c>
    </row>
    <row r="5" spans="1:4" ht="15.75" customHeight="1" x14ac:dyDescent="0.2">
      <c r="A5" s="115" t="s">
        <v>139</v>
      </c>
      <c r="B5" s="114">
        <v>0.13</v>
      </c>
      <c r="C5" s="132">
        <v>0.95</v>
      </c>
      <c r="D5" s="132">
        <f>180</f>
        <v>180</v>
      </c>
    </row>
    <row r="6" spans="1:4" ht="15.75" customHeight="1" x14ac:dyDescent="0.2">
      <c r="A6" s="111" t="s">
        <v>181</v>
      </c>
      <c r="B6" s="112">
        <v>0</v>
      </c>
      <c r="C6" s="111">
        <v>0.95</v>
      </c>
      <c r="D6" s="111">
        <f>SUM('Programs family planning'!E2:E10)</f>
        <v>0</v>
      </c>
    </row>
    <row r="7" spans="1:4" ht="15.75" customHeight="1" x14ac:dyDescent="0.2">
      <c r="A7" s="113" t="s">
        <v>141</v>
      </c>
      <c r="B7" s="114">
        <v>0.36</v>
      </c>
      <c r="C7" s="131">
        <v>0.95</v>
      </c>
      <c r="D7" s="131">
        <f>0.25/((9862402+13370081 )/57310019)</f>
        <v>0.61670139821042802</v>
      </c>
    </row>
    <row r="8" spans="1:4" ht="15.75" customHeight="1" x14ac:dyDescent="0.2">
      <c r="A8" s="111" t="s">
        <v>142</v>
      </c>
      <c r="B8" s="111">
        <v>0</v>
      </c>
      <c r="C8" s="111">
        <v>0.95</v>
      </c>
      <c r="D8" s="111">
        <v>0.75</v>
      </c>
    </row>
    <row r="9" spans="1:4" ht="15.75" customHeight="1" x14ac:dyDescent="0.2">
      <c r="A9" s="111" t="s">
        <v>140</v>
      </c>
      <c r="B9" s="111">
        <v>0</v>
      </c>
      <c r="C9" s="111">
        <v>0.95</v>
      </c>
      <c r="D9" s="111">
        <v>0.19</v>
      </c>
    </row>
    <row r="10" spans="1:4" ht="15.75" customHeight="1" x14ac:dyDescent="0.2">
      <c r="A10" s="111" t="s">
        <v>120</v>
      </c>
      <c r="B10" s="111">
        <v>0</v>
      </c>
      <c r="C10" s="111">
        <v>0.95</v>
      </c>
      <c r="D10" s="111">
        <v>0.73</v>
      </c>
    </row>
    <row r="11" spans="1:4" ht="15.75" customHeight="1" x14ac:dyDescent="0.2">
      <c r="A11" s="111" t="s">
        <v>128</v>
      </c>
      <c r="B11" s="111">
        <v>0</v>
      </c>
      <c r="C11" s="111">
        <v>0.95</v>
      </c>
      <c r="D11" s="111">
        <v>0.73</v>
      </c>
    </row>
    <row r="12" spans="1:4" ht="15.75" customHeight="1" x14ac:dyDescent="0.2">
      <c r="A12" s="111" t="s">
        <v>121</v>
      </c>
      <c r="B12" s="111">
        <v>0</v>
      </c>
      <c r="C12" s="111">
        <v>0.95</v>
      </c>
      <c r="D12" s="111">
        <v>1.78</v>
      </c>
    </row>
    <row r="13" spans="1:4" ht="15.75" customHeight="1" x14ac:dyDescent="0.2">
      <c r="A13" s="111" t="s">
        <v>129</v>
      </c>
      <c r="B13" s="111">
        <v>0</v>
      </c>
      <c r="C13" s="111">
        <v>0.95</v>
      </c>
      <c r="D13" s="111">
        <v>1.78</v>
      </c>
    </row>
    <row r="14" spans="1:4" ht="15.75" customHeight="1" x14ac:dyDescent="0.2">
      <c r="A14" s="111" t="s">
        <v>122</v>
      </c>
      <c r="B14" s="111">
        <v>0</v>
      </c>
      <c r="C14" s="111">
        <v>0.95</v>
      </c>
      <c r="D14" s="111">
        <v>0.24</v>
      </c>
    </row>
    <row r="15" spans="1:4" ht="15.75" customHeight="1" x14ac:dyDescent="0.2">
      <c r="A15" s="111" t="s">
        <v>130</v>
      </c>
      <c r="B15" s="111">
        <v>0</v>
      </c>
      <c r="C15" s="111">
        <v>0.95</v>
      </c>
      <c r="D15" s="111">
        <v>0.24</v>
      </c>
    </row>
    <row r="16" spans="1:4" ht="15.75" customHeight="1" x14ac:dyDescent="0.2">
      <c r="A16" s="111" t="s">
        <v>119</v>
      </c>
      <c r="B16" s="111">
        <v>0</v>
      </c>
      <c r="C16" s="111">
        <v>0.95</v>
      </c>
      <c r="D16" s="111">
        <v>0.55000000000000004</v>
      </c>
    </row>
    <row r="17" spans="1:4" ht="15.75" customHeight="1" x14ac:dyDescent="0.2">
      <c r="A17" s="111" t="s">
        <v>127</v>
      </c>
      <c r="B17" s="111">
        <v>0</v>
      </c>
      <c r="C17" s="111">
        <v>0.95</v>
      </c>
      <c r="D17" s="111">
        <v>0.55000000000000004</v>
      </c>
    </row>
    <row r="18" spans="1:4" ht="15.75" customHeight="1" x14ac:dyDescent="0.2">
      <c r="A18" s="111" t="s">
        <v>117</v>
      </c>
      <c r="B18" s="111">
        <v>0</v>
      </c>
      <c r="C18" s="111">
        <v>0.95</v>
      </c>
      <c r="D18" s="111">
        <v>0.73</v>
      </c>
    </row>
    <row r="19" spans="1:4" ht="15.75" customHeight="1" x14ac:dyDescent="0.2">
      <c r="A19" s="111" t="s">
        <v>125</v>
      </c>
      <c r="B19" s="111">
        <v>0</v>
      </c>
      <c r="C19" s="111">
        <v>0.95</v>
      </c>
      <c r="D19" s="111">
        <v>0.73</v>
      </c>
    </row>
    <row r="20" spans="1:4" ht="15.75" customHeight="1" x14ac:dyDescent="0.2">
      <c r="A20" s="111" t="s">
        <v>118</v>
      </c>
      <c r="B20" s="111">
        <v>0</v>
      </c>
      <c r="C20" s="111">
        <v>0.95</v>
      </c>
      <c r="D20" s="111">
        <v>1.78</v>
      </c>
    </row>
    <row r="21" spans="1:4" ht="15.75" customHeight="1" x14ac:dyDescent="0.2">
      <c r="A21" s="111" t="s">
        <v>126</v>
      </c>
      <c r="B21" s="111">
        <v>0</v>
      </c>
      <c r="C21" s="111">
        <v>0.95</v>
      </c>
      <c r="D21" s="111">
        <v>1.78</v>
      </c>
    </row>
    <row r="22" spans="1:4" ht="15.75" customHeight="1" x14ac:dyDescent="0.2">
      <c r="A22" s="111" t="s">
        <v>116</v>
      </c>
      <c r="B22" s="111">
        <v>0</v>
      </c>
      <c r="C22" s="111">
        <v>0.95</v>
      </c>
      <c r="D22" s="111">
        <v>0.55000000000000004</v>
      </c>
    </row>
    <row r="23" spans="1:4" ht="15.75" customHeight="1" x14ac:dyDescent="0.2">
      <c r="A23" s="111" t="s">
        <v>124</v>
      </c>
      <c r="B23" s="111">
        <v>0</v>
      </c>
      <c r="C23" s="111">
        <v>0.95</v>
      </c>
      <c r="D23" s="111">
        <v>0.55000000000000004</v>
      </c>
    </row>
    <row r="24" spans="1:4" ht="15.75" customHeight="1" x14ac:dyDescent="0.2">
      <c r="A24" s="109" t="s">
        <v>115</v>
      </c>
      <c r="B24" s="110">
        <v>0.49299999999999999</v>
      </c>
      <c r="C24" s="131">
        <v>0.95</v>
      </c>
      <c r="D24" s="131">
        <v>2.06</v>
      </c>
    </row>
    <row r="25" spans="1:4" ht="15.75" customHeight="1" x14ac:dyDescent="0.2">
      <c r="A25" s="111" t="s">
        <v>76</v>
      </c>
      <c r="B25" s="111">
        <v>0</v>
      </c>
      <c r="C25" s="111">
        <v>0.95</v>
      </c>
      <c r="D25" s="111">
        <v>1.78</v>
      </c>
    </row>
    <row r="26" spans="1:4" ht="15.75" customHeight="1" x14ac:dyDescent="0.2">
      <c r="A26" s="115" t="s">
        <v>135</v>
      </c>
      <c r="B26" s="114">
        <v>0.80100000000000005</v>
      </c>
      <c r="C26" s="132">
        <v>0.95</v>
      </c>
      <c r="D26" s="132">
        <v>3.78</v>
      </c>
    </row>
    <row r="27" spans="1:4" ht="15.75" customHeight="1" x14ac:dyDescent="0.2">
      <c r="A27" s="111" t="s">
        <v>93</v>
      </c>
      <c r="B27" s="112">
        <v>0.80800000000000005</v>
      </c>
      <c r="C27" s="111">
        <v>0.95</v>
      </c>
      <c r="D27" s="111">
        <v>0.05</v>
      </c>
    </row>
    <row r="28" spans="1:4" ht="15.75" customHeight="1" x14ac:dyDescent="0.2">
      <c r="A28" s="111" t="s">
        <v>77</v>
      </c>
      <c r="B28" s="112">
        <v>0.50800000000000001</v>
      </c>
      <c r="C28" s="111">
        <v>0.95</v>
      </c>
      <c r="D28" s="111">
        <v>2.61</v>
      </c>
    </row>
    <row r="29" spans="1:4" ht="15.75" customHeight="1" x14ac:dyDescent="0.2">
      <c r="A29" s="111" t="s">
        <v>212</v>
      </c>
      <c r="B29" s="112">
        <v>0</v>
      </c>
      <c r="C29" s="111">
        <v>0.95</v>
      </c>
      <c r="D29" s="111">
        <v>11</v>
      </c>
    </row>
    <row r="30" spans="1:4" ht="15.75" customHeight="1" x14ac:dyDescent="0.2">
      <c r="A30" s="111" t="s">
        <v>211</v>
      </c>
      <c r="B30" s="112">
        <v>0</v>
      </c>
      <c r="C30" s="111">
        <v>0.95</v>
      </c>
      <c r="D30" s="111">
        <v>11</v>
      </c>
    </row>
    <row r="31" spans="1:4" ht="15.75" customHeight="1" x14ac:dyDescent="0.2">
      <c r="A31" s="111" t="s">
        <v>131</v>
      </c>
      <c r="B31" s="111">
        <v>0</v>
      </c>
      <c r="C31" s="111">
        <v>0.95</v>
      </c>
      <c r="D31" s="111">
        <v>2.99</v>
      </c>
    </row>
    <row r="32" spans="1:4" ht="15.75" customHeight="1" x14ac:dyDescent="0.2">
      <c r="A32" s="111" t="s">
        <v>134</v>
      </c>
      <c r="B32" s="112">
        <v>0.3538</v>
      </c>
      <c r="C32" s="111">
        <v>0.95</v>
      </c>
      <c r="D32" s="111">
        <v>3.78</v>
      </c>
    </row>
    <row r="33" spans="1:4" ht="15.75" customHeight="1" x14ac:dyDescent="0.2">
      <c r="A33" s="111" t="s">
        <v>209</v>
      </c>
      <c r="B33" s="112">
        <v>0</v>
      </c>
      <c r="C33" s="111">
        <v>0.95</v>
      </c>
      <c r="D33" s="111">
        <v>23.84</v>
      </c>
    </row>
    <row r="34" spans="1:4" ht="15.75" customHeight="1" x14ac:dyDescent="0.2">
      <c r="A34" s="111" t="s">
        <v>123</v>
      </c>
      <c r="B34" s="112">
        <v>0</v>
      </c>
      <c r="C34" s="111">
        <v>0.95</v>
      </c>
      <c r="D34" s="111">
        <v>48</v>
      </c>
    </row>
    <row r="35" spans="1:4" ht="15.75" customHeight="1" x14ac:dyDescent="0.2">
      <c r="A35" s="111" t="s">
        <v>74</v>
      </c>
      <c r="B35" s="111">
        <v>0</v>
      </c>
      <c r="C35" s="111">
        <v>0.95</v>
      </c>
      <c r="D35" s="111">
        <v>50</v>
      </c>
    </row>
    <row r="36" spans="1:4" ht="15.75" customHeight="1" x14ac:dyDescent="0.2">
      <c r="A36" s="111" t="s">
        <v>132</v>
      </c>
      <c r="B36" s="111">
        <v>0</v>
      </c>
      <c r="C36" s="111">
        <v>0.95</v>
      </c>
      <c r="D36" s="111">
        <v>51</v>
      </c>
    </row>
    <row r="37" spans="1:4" ht="15.75" customHeight="1" x14ac:dyDescent="0.2">
      <c r="A37" s="111" t="s">
        <v>73</v>
      </c>
      <c r="B37" s="111">
        <v>0</v>
      </c>
      <c r="C37" s="111">
        <v>0.95</v>
      </c>
      <c r="D37" s="111">
        <v>4.6500000000000004</v>
      </c>
    </row>
    <row r="38" spans="1:4" ht="15.75" customHeight="1" x14ac:dyDescent="0.2">
      <c r="A38" s="113" t="s">
        <v>133</v>
      </c>
      <c r="B38" s="110">
        <v>0.1</v>
      </c>
      <c r="C38" s="131">
        <v>0.95</v>
      </c>
      <c r="D38" s="131">
        <v>4.6500000000000004</v>
      </c>
    </row>
    <row r="39" spans="1:4" ht="15.75" customHeight="1" x14ac:dyDescent="0.2">
      <c r="A39" s="113" t="s">
        <v>147</v>
      </c>
      <c r="B39" s="110">
        <v>0</v>
      </c>
      <c r="C39" s="131">
        <v>0.95</v>
      </c>
      <c r="D39" s="125">
        <f>40*AVERAGE('Incidence of conditions'!B5:F5)</f>
        <v>4.7507200000000003</v>
      </c>
    </row>
    <row r="40" spans="1:4" ht="15.75" customHeight="1" x14ac:dyDescent="0.2">
      <c r="A40" s="113" t="s">
        <v>148</v>
      </c>
      <c r="B40" s="110">
        <v>0.253</v>
      </c>
      <c r="C40" s="131">
        <v>0.95</v>
      </c>
      <c r="D40" s="125">
        <f>90*AVERAGE('Incidence of conditions'!B6:F6)</f>
        <v>5.3024400000000007</v>
      </c>
    </row>
    <row r="41" spans="1:4" ht="15.75" customHeight="1" x14ac:dyDescent="0.2">
      <c r="A41" s="113" t="s">
        <v>47</v>
      </c>
      <c r="B41" s="110">
        <v>0.92</v>
      </c>
      <c r="C41" s="110">
        <v>1</v>
      </c>
      <c r="D41" s="131">
        <v>0.41</v>
      </c>
    </row>
    <row r="42" spans="1:4" ht="15.75" customHeight="1" x14ac:dyDescent="0.2">
      <c r="A42" s="111" t="s">
        <v>208</v>
      </c>
      <c r="B42" s="112">
        <v>0.80700000000000005</v>
      </c>
      <c r="C42" s="111">
        <v>0.95</v>
      </c>
      <c r="D42" s="111">
        <v>0.9</v>
      </c>
    </row>
    <row r="43" spans="1:4" ht="15.75" customHeight="1" x14ac:dyDescent="0.2">
      <c r="A43" s="111" t="s">
        <v>207</v>
      </c>
      <c r="B43" s="112">
        <v>0.73199999999999998</v>
      </c>
      <c r="C43" s="111">
        <v>0.95</v>
      </c>
      <c r="D43" s="111">
        <v>0.9</v>
      </c>
    </row>
    <row r="44" spans="1:4" ht="15.75" customHeight="1" x14ac:dyDescent="0.2">
      <c r="A44" s="111" t="s">
        <v>206</v>
      </c>
      <c r="B44" s="112">
        <v>0.316</v>
      </c>
      <c r="C44" s="111">
        <v>0.95</v>
      </c>
      <c r="D44" s="111">
        <v>79</v>
      </c>
    </row>
    <row r="45" spans="1:4" ht="15.75" customHeight="1" x14ac:dyDescent="0.2">
      <c r="A45" s="111" t="s">
        <v>204</v>
      </c>
      <c r="B45" s="112">
        <v>0.59699999999999998</v>
      </c>
      <c r="C45" s="111">
        <v>0.95</v>
      </c>
      <c r="D45" s="111">
        <v>31</v>
      </c>
    </row>
    <row r="46" spans="1:4" ht="15.75" customHeight="1" x14ac:dyDescent="0.2">
      <c r="A46" s="111" t="s">
        <v>205</v>
      </c>
      <c r="B46" s="112">
        <v>0.19900000000000001</v>
      </c>
      <c r="C46" s="111">
        <v>0.95</v>
      </c>
      <c r="D46" s="111">
        <v>102</v>
      </c>
    </row>
    <row r="47" spans="1:4" ht="15.75" customHeight="1" x14ac:dyDescent="0.2">
      <c r="A47" s="109" t="s">
        <v>213</v>
      </c>
      <c r="B47" s="116">
        <v>0.18099999999999999</v>
      </c>
      <c r="C47" s="131">
        <v>0.95</v>
      </c>
      <c r="D47" s="125">
        <v>5.53</v>
      </c>
    </row>
    <row r="48" spans="1:4" ht="15.75" customHeight="1" x14ac:dyDescent="0.2">
      <c r="A48" s="111" t="s">
        <v>136</v>
      </c>
      <c r="B48" s="111">
        <v>0</v>
      </c>
      <c r="C48" s="111">
        <v>0.95</v>
      </c>
      <c r="D48" s="111">
        <v>4</v>
      </c>
    </row>
    <row r="49" spans="1:4" s="11" customFormat="1" ht="15.75" customHeight="1" x14ac:dyDescent="0.2">
      <c r="A49" s="109" t="s">
        <v>157</v>
      </c>
      <c r="B49" s="129">
        <v>0</v>
      </c>
      <c r="C49" s="130">
        <v>0.95</v>
      </c>
      <c r="D49" s="128" t="s">
        <v>252</v>
      </c>
    </row>
    <row r="50" spans="1:4" ht="15.75" customHeight="1" x14ac:dyDescent="0.2">
      <c r="A50" s="111" t="s">
        <v>158</v>
      </c>
      <c r="B50" s="111">
        <v>0</v>
      </c>
      <c r="C50" s="111">
        <v>0.95</v>
      </c>
      <c r="D50" s="111" t="s">
        <v>252</v>
      </c>
    </row>
    <row r="51" spans="1:4" ht="15.75" customHeight="1" x14ac:dyDescent="0.2">
      <c r="A51" s="111" t="s">
        <v>159</v>
      </c>
      <c r="B51" s="111">
        <v>0</v>
      </c>
      <c r="C51" s="111">
        <v>0.95</v>
      </c>
      <c r="D51" s="111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76">
        <v>83071.755000000005</v>
      </c>
      <c r="C2" s="119"/>
      <c r="D2" s="13">
        <v>112151.92977720202</v>
      </c>
      <c r="E2" s="13">
        <v>180283.76829536792</v>
      </c>
      <c r="F2" s="13">
        <v>127057.8029797925</v>
      </c>
      <c r="G2" s="13">
        <v>79443.144622472115</v>
      </c>
      <c r="H2" s="120">
        <f>D2+E2+F2+G2</f>
        <v>498936.64567483449</v>
      </c>
      <c r="I2" s="121">
        <f t="shared" ref="I2:I15" si="0">(B2 + 25.36*B2/(1000-25.36))/(1-0.13)</f>
        <v>97969.276719680056</v>
      </c>
      <c r="J2" s="122">
        <f t="shared" ref="J2:J15" si="1">D2/H2</f>
        <v>0.22478190517658098</v>
      </c>
      <c r="K2" s="120">
        <f>H2-I2</f>
        <v>400967.36895515444</v>
      </c>
      <c r="L2" s="119"/>
    </row>
    <row r="3" spans="1:12" ht="15.75" customHeight="1" x14ac:dyDescent="0.15">
      <c r="A3" s="3">
        <v>2018</v>
      </c>
      <c r="B3" s="76">
        <v>84646.575000000012</v>
      </c>
      <c r="C3" s="119"/>
      <c r="D3" s="13">
        <v>117000.46485559746</v>
      </c>
      <c r="E3" s="13">
        <v>185465.20341008279</v>
      </c>
      <c r="F3" s="13">
        <v>131571.96802522533</v>
      </c>
      <c r="G3" s="13">
        <v>83378.867437988272</v>
      </c>
      <c r="H3" s="120">
        <f t="shared" ref="H3:H15" si="2">D3+E3+F3+G3</f>
        <v>517416.50372889388</v>
      </c>
      <c r="I3" s="121">
        <f t="shared" si="0"/>
        <v>99826.514193038936</v>
      </c>
      <c r="J3" s="122">
        <f t="shared" si="1"/>
        <v>0.22612433892696462</v>
      </c>
      <c r="K3" s="120">
        <f t="shared" ref="K3:K15" si="3">H3-I3</f>
        <v>417589.98953585495</v>
      </c>
      <c r="L3" s="119"/>
    </row>
    <row r="4" spans="1:12" ht="15.75" customHeight="1" x14ac:dyDescent="0.15">
      <c r="A4" s="3">
        <v>2019</v>
      </c>
      <c r="B4" s="76">
        <v>86615.1</v>
      </c>
      <c r="C4" s="119"/>
      <c r="D4" s="13">
        <v>122058.61106108746</v>
      </c>
      <c r="E4" s="13">
        <v>190795.55525813339</v>
      </c>
      <c r="F4" s="13">
        <v>136246.51429541971</v>
      </c>
      <c r="G4" s="13">
        <v>87509.571383143571</v>
      </c>
      <c r="H4" s="120">
        <f t="shared" si="2"/>
        <v>536610.25199778413</v>
      </c>
      <c r="I4" s="121">
        <f t="shared" si="0"/>
        <v>102148.0610347375</v>
      </c>
      <c r="J4" s="122">
        <f t="shared" si="1"/>
        <v>0.22746231665658057</v>
      </c>
      <c r="K4" s="120">
        <f t="shared" si="3"/>
        <v>434462.19096304663</v>
      </c>
      <c r="L4" s="119"/>
    </row>
    <row r="5" spans="1:12" ht="15.75" customHeight="1" x14ac:dyDescent="0.15">
      <c r="A5" s="3">
        <v>2020</v>
      </c>
      <c r="B5" s="76">
        <v>88189.920000000013</v>
      </c>
      <c r="C5" s="119"/>
      <c r="D5" s="13">
        <v>127335.43026986587</v>
      </c>
      <c r="E5" s="13">
        <v>196279.10377219791</v>
      </c>
      <c r="F5" s="13">
        <v>141087.1398844854</v>
      </c>
      <c r="G5" s="13">
        <v>91844.91609168188</v>
      </c>
      <c r="H5" s="120">
        <f t="shared" si="2"/>
        <v>556546.59001823107</v>
      </c>
      <c r="I5" s="121">
        <f t="shared" si="0"/>
        <v>104005.29850809637</v>
      </c>
      <c r="J5" s="122">
        <f t="shared" si="1"/>
        <v>0.2287956346398505</v>
      </c>
      <c r="K5" s="120">
        <f t="shared" si="3"/>
        <v>452541.2915101347</v>
      </c>
      <c r="L5" s="119"/>
    </row>
    <row r="6" spans="1:12" ht="15.75" customHeight="1" x14ac:dyDescent="0.15">
      <c r="A6" s="3">
        <v>2021</v>
      </c>
      <c r="B6" s="76">
        <v>89764.74</v>
      </c>
      <c r="C6" s="119"/>
      <c r="D6" s="13">
        <v>131303.19951954324</v>
      </c>
      <c r="E6" s="13">
        <v>203386.841562841</v>
      </c>
      <c r="F6" s="13">
        <v>145648.12690858549</v>
      </c>
      <c r="G6" s="13">
        <v>95910.942784647079</v>
      </c>
      <c r="H6" s="120">
        <f t="shared" si="2"/>
        <v>576249.11077561683</v>
      </c>
      <c r="I6" s="121">
        <f t="shared" si="0"/>
        <v>105862.53598145524</v>
      </c>
      <c r="J6" s="122">
        <f t="shared" si="1"/>
        <v>0.22785839850201664</v>
      </c>
      <c r="K6" s="120">
        <f t="shared" si="3"/>
        <v>470386.5747941616</v>
      </c>
      <c r="L6" s="119"/>
    </row>
    <row r="7" spans="1:12" ht="15.75" customHeight="1" x14ac:dyDescent="0.15">
      <c r="A7" s="3">
        <v>2022</v>
      </c>
      <c r="B7" s="76">
        <v>91733.264999999999</v>
      </c>
      <c r="C7" s="119"/>
      <c r="D7" s="13">
        <v>135394.60437311593</v>
      </c>
      <c r="E7" s="13">
        <v>210751.96761096854</v>
      </c>
      <c r="F7" s="13">
        <v>150356.55899855794</v>
      </c>
      <c r="G7" s="13">
        <v>100156.97479278293</v>
      </c>
      <c r="H7" s="120">
        <f t="shared" si="2"/>
        <v>596660.10577542533</v>
      </c>
      <c r="I7" s="121">
        <f t="shared" si="0"/>
        <v>108184.0828231538</v>
      </c>
      <c r="J7" s="122">
        <f t="shared" si="1"/>
        <v>0.22692082655192067</v>
      </c>
      <c r="K7" s="120">
        <f t="shared" si="3"/>
        <v>488476.02295227151</v>
      </c>
      <c r="L7" s="119"/>
    </row>
    <row r="8" spans="1:12" ht="15.75" customHeight="1" x14ac:dyDescent="0.15">
      <c r="A8" s="3">
        <v>2023</v>
      </c>
      <c r="B8" s="76">
        <v>93701.790000000008</v>
      </c>
      <c r="C8" s="119"/>
      <c r="D8" s="13">
        <v>139613.4973133239</v>
      </c>
      <c r="E8" s="13">
        <v>218383.80256360525</v>
      </c>
      <c r="F8" s="13">
        <v>155217.20267694167</v>
      </c>
      <c r="G8" s="13">
        <v>104590.9810538108</v>
      </c>
      <c r="H8" s="120">
        <f t="shared" si="2"/>
        <v>617805.48360768158</v>
      </c>
      <c r="I8" s="121">
        <f t="shared" si="0"/>
        <v>110505.62966485239</v>
      </c>
      <c r="J8" s="122">
        <f t="shared" si="1"/>
        <v>0.22598293640588848</v>
      </c>
      <c r="K8" s="120">
        <f t="shared" si="3"/>
        <v>507299.85394282918</v>
      </c>
      <c r="L8" s="119"/>
    </row>
    <row r="9" spans="1:12" ht="15.75" customHeight="1" x14ac:dyDescent="0.15">
      <c r="A9" s="3">
        <v>2024</v>
      </c>
      <c r="B9" s="76">
        <v>95276.61</v>
      </c>
      <c r="C9" s="119"/>
      <c r="D9" s="13">
        <v>143963.85086618588</v>
      </c>
      <c r="E9" s="13">
        <v>226292.00459079191</v>
      </c>
      <c r="F9" s="13">
        <v>160234.9785557799</v>
      </c>
      <c r="G9" s="13">
        <v>109221.28329485914</v>
      </c>
      <c r="H9" s="120">
        <f t="shared" si="2"/>
        <v>639712.11730761686</v>
      </c>
      <c r="I9" s="121">
        <f t="shared" si="0"/>
        <v>112362.86713821125</v>
      </c>
      <c r="J9" s="122">
        <f t="shared" si="1"/>
        <v>0.22504474586489398</v>
      </c>
      <c r="K9" s="120">
        <f t="shared" si="3"/>
        <v>527349.2501694056</v>
      </c>
      <c r="L9" s="119"/>
    </row>
    <row r="10" spans="1:12" ht="15.75" customHeight="1" x14ac:dyDescent="0.15">
      <c r="A10" s="3">
        <v>2025</v>
      </c>
      <c r="B10" s="76">
        <v>97638.840000000011</v>
      </c>
      <c r="C10" s="119"/>
      <c r="D10" s="13">
        <v>148449.76134154529</v>
      </c>
      <c r="E10" s="13">
        <v>234486.58160810443</v>
      </c>
      <c r="F10" s="13">
        <v>165414.96631794045</v>
      </c>
      <c r="G10" s="13">
        <v>114056.57165065123</v>
      </c>
      <c r="H10" s="120">
        <f t="shared" si="2"/>
        <v>662407.88091824134</v>
      </c>
      <c r="I10" s="121">
        <f t="shared" si="0"/>
        <v>115148.72334824956</v>
      </c>
      <c r="J10" s="122">
        <f t="shared" si="1"/>
        <v>0.22410627291414717</v>
      </c>
      <c r="K10" s="120">
        <f t="shared" si="3"/>
        <v>547259.15756999177</v>
      </c>
      <c r="L10" s="119"/>
    </row>
    <row r="11" spans="1:12" ht="15.75" customHeight="1" x14ac:dyDescent="0.15">
      <c r="A11" s="3">
        <v>2026</v>
      </c>
      <c r="B11" s="76">
        <v>99607.365000000005</v>
      </c>
      <c r="C11" s="119"/>
      <c r="D11" s="13">
        <v>152920.03442297637</v>
      </c>
      <c r="E11" s="13">
        <v>243212.73581225143</v>
      </c>
      <c r="F11" s="13">
        <v>170342.23727576839</v>
      </c>
      <c r="G11" s="13">
        <v>118273.54570026814</v>
      </c>
      <c r="H11" s="120">
        <f t="shared" si="2"/>
        <v>684748.55321126431</v>
      </c>
      <c r="I11" s="121">
        <f t="shared" si="0"/>
        <v>117470.27018994813</v>
      </c>
      <c r="J11" s="122">
        <f t="shared" si="1"/>
        <v>0.22332290255426976</v>
      </c>
      <c r="K11" s="120">
        <f t="shared" si="3"/>
        <v>567278.28302131617</v>
      </c>
      <c r="L11" s="119"/>
    </row>
    <row r="12" spans="1:12" ht="15.75" customHeight="1" x14ac:dyDescent="0.15">
      <c r="A12" s="3">
        <v>2027</v>
      </c>
      <c r="B12" s="76">
        <v>101575.89000000001</v>
      </c>
      <c r="C12" s="119"/>
      <c r="D12" s="13">
        <v>157524.92100086561</v>
      </c>
      <c r="E12" s="13">
        <v>252263.62402323305</v>
      </c>
      <c r="F12" s="13">
        <v>175416.27850252829</v>
      </c>
      <c r="G12" s="13">
        <v>122646.43246826493</v>
      </c>
      <c r="H12" s="120">
        <f t="shared" si="2"/>
        <v>707851.25599489186</v>
      </c>
      <c r="I12" s="121">
        <f t="shared" si="0"/>
        <v>119791.81703164671</v>
      </c>
      <c r="J12" s="122">
        <f t="shared" si="1"/>
        <v>0.22253957970232432</v>
      </c>
      <c r="K12" s="120">
        <f t="shared" si="3"/>
        <v>588059.43896324513</v>
      </c>
      <c r="L12" s="119"/>
    </row>
    <row r="13" spans="1:12" ht="15.75" customHeight="1" x14ac:dyDescent="0.15">
      <c r="A13" s="3">
        <v>2028</v>
      </c>
      <c r="B13" s="76">
        <v>103544.41500000001</v>
      </c>
      <c r="C13" s="119"/>
      <c r="D13" s="13">
        <v>162268.47469634502</v>
      </c>
      <c r="E13" s="13">
        <v>261651.33085160368</v>
      </c>
      <c r="F13" s="13">
        <v>180641.46189333749</v>
      </c>
      <c r="G13" s="13">
        <v>127180.99646148148</v>
      </c>
      <c r="H13" s="120">
        <f t="shared" si="2"/>
        <v>731742.26390276768</v>
      </c>
      <c r="I13" s="121">
        <f t="shared" si="0"/>
        <v>122113.36387334528</v>
      </c>
      <c r="J13" s="122">
        <f t="shared" si="1"/>
        <v>0.22175632418835781</v>
      </c>
      <c r="K13" s="120">
        <f t="shared" si="3"/>
        <v>609628.90002942237</v>
      </c>
      <c r="L13" s="119"/>
    </row>
    <row r="14" spans="1:12" ht="15.75" customHeight="1" x14ac:dyDescent="0.15">
      <c r="A14" s="3">
        <v>2029</v>
      </c>
      <c r="B14" s="76">
        <v>105906.645</v>
      </c>
      <c r="C14" s="119"/>
      <c r="D14" s="13">
        <v>167154.87119738769</v>
      </c>
      <c r="E14" s="13">
        <v>271388.39062309748</v>
      </c>
      <c r="F14" s="13">
        <v>186022.28957041627</v>
      </c>
      <c r="G14" s="13">
        <v>131883.21531586896</v>
      </c>
      <c r="H14" s="120">
        <f t="shared" si="2"/>
        <v>756448.7667067704</v>
      </c>
      <c r="I14" s="121">
        <f t="shared" si="0"/>
        <v>124899.22008338358</v>
      </c>
      <c r="J14" s="122">
        <f t="shared" si="1"/>
        <v>0.22097315582270433</v>
      </c>
      <c r="K14" s="120">
        <f t="shared" si="3"/>
        <v>631549.54662338679</v>
      </c>
      <c r="L14" s="119"/>
    </row>
    <row r="15" spans="1:12" ht="15.75" customHeight="1" x14ac:dyDescent="0.15">
      <c r="A15" s="3">
        <v>2030</v>
      </c>
      <c r="B15" s="76">
        <v>107875.17000000001</v>
      </c>
      <c r="C15" s="119"/>
      <c r="D15" s="13">
        <v>172188.4119346111</v>
      </c>
      <c r="E15" s="13">
        <v>281487.80411427259</v>
      </c>
      <c r="F15" s="13">
        <v>191563.39776220606</v>
      </c>
      <c r="G15" s="13">
        <v>136759.28767643849</v>
      </c>
      <c r="H15" s="120">
        <f t="shared" si="2"/>
        <v>781998.90148752823</v>
      </c>
      <c r="I15" s="121">
        <f t="shared" si="0"/>
        <v>127220.76692508216</v>
      </c>
      <c r="J15" s="122">
        <f t="shared" si="1"/>
        <v>0.22019009439408688</v>
      </c>
      <c r="K15" s="120">
        <f t="shared" si="3"/>
        <v>654778.13456244604</v>
      </c>
      <c r="L15" s="11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F34" sqref="F34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17">
        <f>'Baseline year demographics'!C2+1</f>
        <v>2018</v>
      </c>
      <c r="D1" s="117">
        <f>C1+1</f>
        <v>2019</v>
      </c>
      <c r="E1" s="117">
        <f t="shared" ref="E1:P1" si="0">D1+1</f>
        <v>2020</v>
      </c>
      <c r="F1" s="117">
        <f t="shared" si="0"/>
        <v>2021</v>
      </c>
      <c r="G1" s="117">
        <f t="shared" si="0"/>
        <v>2022</v>
      </c>
      <c r="H1" s="117">
        <f t="shared" si="0"/>
        <v>2023</v>
      </c>
      <c r="I1" s="117">
        <f t="shared" si="0"/>
        <v>2024</v>
      </c>
      <c r="J1" s="117">
        <f t="shared" si="0"/>
        <v>2025</v>
      </c>
      <c r="K1" s="117">
        <f t="shared" si="0"/>
        <v>2026</v>
      </c>
      <c r="L1" s="117">
        <f t="shared" si="0"/>
        <v>2027</v>
      </c>
      <c r="M1" s="117">
        <f t="shared" si="0"/>
        <v>2028</v>
      </c>
      <c r="N1" s="117">
        <f t="shared" si="0"/>
        <v>2029</v>
      </c>
      <c r="O1" s="117">
        <f t="shared" si="0"/>
        <v>2030</v>
      </c>
      <c r="P1" s="11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5" t="s">
        <v>254</v>
      </c>
      <c r="C2" s="21"/>
    </row>
    <row r="3" spans="1:16" x14ac:dyDescent="0.15">
      <c r="A3" t="str">
        <f>A2</f>
        <v>Balanced energy-protein supplementation</v>
      </c>
      <c r="B3" s="85" t="s">
        <v>255</v>
      </c>
      <c r="C3" s="21"/>
    </row>
    <row r="4" spans="1:16" x14ac:dyDescent="0.15">
      <c r="A4" t="str">
        <f>'Programs to include'!A3</f>
        <v>Birth age program</v>
      </c>
      <c r="B4" s="85" t="s">
        <v>254</v>
      </c>
      <c r="C4" s="21"/>
    </row>
    <row r="5" spans="1:16" x14ac:dyDescent="0.15">
      <c r="A5" t="str">
        <f>A4</f>
        <v>Birth age program</v>
      </c>
      <c r="B5" s="85" t="s">
        <v>255</v>
      </c>
      <c r="C5" s="21"/>
    </row>
    <row r="6" spans="1:16" x14ac:dyDescent="0.15">
      <c r="A6" t="str">
        <f>'Programs to include'!A4</f>
        <v>Calcium supplementation</v>
      </c>
      <c r="B6" s="85" t="s">
        <v>254</v>
      </c>
      <c r="C6" s="21"/>
    </row>
    <row r="7" spans="1:16" x14ac:dyDescent="0.15">
      <c r="A7" t="str">
        <f>A6</f>
        <v>Calcium supplementation</v>
      </c>
      <c r="B7" s="85" t="s">
        <v>255</v>
      </c>
      <c r="C7" s="21"/>
    </row>
    <row r="8" spans="1:16" x14ac:dyDescent="0.15">
      <c r="A8" t="str">
        <f>'Programs to include'!A5</f>
        <v>Cash transfers</v>
      </c>
      <c r="B8" s="85" t="s">
        <v>254</v>
      </c>
      <c r="C8" s="21"/>
    </row>
    <row r="9" spans="1:16" x14ac:dyDescent="0.15">
      <c r="A9" t="str">
        <f>A8</f>
        <v>Cash transfers</v>
      </c>
      <c r="B9" s="85" t="s">
        <v>255</v>
      </c>
      <c r="C9" s="21"/>
    </row>
    <row r="10" spans="1:16" x14ac:dyDescent="0.15">
      <c r="A10" t="str">
        <f>'Programs to include'!A6</f>
        <v>Family Planning</v>
      </c>
      <c r="B10" s="85" t="s">
        <v>254</v>
      </c>
      <c r="C10" s="21"/>
    </row>
    <row r="11" spans="1:16" x14ac:dyDescent="0.15">
      <c r="A11" t="str">
        <f>A10</f>
        <v>Family Planning</v>
      </c>
      <c r="B11" s="85" t="s">
        <v>255</v>
      </c>
      <c r="C11" s="21"/>
    </row>
    <row r="12" spans="1:16" x14ac:dyDescent="0.15">
      <c r="A12" t="str">
        <f>'Programs to include'!A7</f>
        <v>IFA fortification of maize</v>
      </c>
      <c r="B12" s="85" t="s">
        <v>254</v>
      </c>
      <c r="C12" s="21"/>
    </row>
    <row r="13" spans="1:16" x14ac:dyDescent="0.15">
      <c r="A13" t="str">
        <f>A12</f>
        <v>IFA fortification of maize</v>
      </c>
      <c r="B13" s="85" t="s">
        <v>255</v>
      </c>
      <c r="C13" s="21"/>
    </row>
    <row r="14" spans="1:16" x14ac:dyDescent="0.15">
      <c r="A14" t="str">
        <f>'Programs to include'!A8</f>
        <v>IFA fortification of rice</v>
      </c>
      <c r="B14" s="85" t="s">
        <v>254</v>
      </c>
      <c r="C14" s="21"/>
    </row>
    <row r="15" spans="1:16" x14ac:dyDescent="0.15">
      <c r="A15" t="str">
        <f>A14</f>
        <v>IFA fortification of rice</v>
      </c>
      <c r="B15" s="85" t="s">
        <v>255</v>
      </c>
      <c r="C15" s="21"/>
    </row>
    <row r="16" spans="1:16" x14ac:dyDescent="0.15">
      <c r="A16" t="str">
        <f>'Programs to include'!A9</f>
        <v>IFA fortification of wheat flour</v>
      </c>
      <c r="B16" s="85" t="s">
        <v>254</v>
      </c>
      <c r="C16" s="21"/>
    </row>
    <row r="17" spans="1:3" x14ac:dyDescent="0.15">
      <c r="A17" t="str">
        <f>A16</f>
        <v>IFA fortification of wheat flour</v>
      </c>
      <c r="B17" s="85" t="s">
        <v>255</v>
      </c>
      <c r="C17" s="21"/>
    </row>
    <row r="18" spans="1:3" x14ac:dyDescent="0.15">
      <c r="A18" t="str">
        <f>'Programs to include'!A10</f>
        <v>IFAS not poor: community</v>
      </c>
      <c r="B18" s="85" t="s">
        <v>254</v>
      </c>
      <c r="C18" s="21"/>
    </row>
    <row r="19" spans="1:3" x14ac:dyDescent="0.15">
      <c r="A19" t="str">
        <f>A18</f>
        <v>IFAS not poor: community</v>
      </c>
      <c r="B19" s="85" t="s">
        <v>255</v>
      </c>
      <c r="C19" s="21"/>
    </row>
    <row r="20" spans="1:3" x14ac:dyDescent="0.15">
      <c r="A20" t="str">
        <f>'Programs to include'!A11</f>
        <v>IFAS not poor: community (malaria area)</v>
      </c>
      <c r="B20" s="85" t="s">
        <v>254</v>
      </c>
      <c r="C20" s="21"/>
    </row>
    <row r="21" spans="1:3" x14ac:dyDescent="0.15">
      <c r="A21" t="str">
        <f>A20</f>
        <v>IFAS not poor: community (malaria area)</v>
      </c>
      <c r="B21" s="85" t="s">
        <v>255</v>
      </c>
      <c r="C21" s="21"/>
    </row>
    <row r="22" spans="1:3" x14ac:dyDescent="0.15">
      <c r="A22" t="str">
        <f>'Programs to include'!A12</f>
        <v>IFAS not poor: hospital</v>
      </c>
      <c r="B22" s="85" t="s">
        <v>254</v>
      </c>
      <c r="C22" s="21"/>
    </row>
    <row r="23" spans="1:3" x14ac:dyDescent="0.15">
      <c r="A23" t="str">
        <f>A22</f>
        <v>IFAS not poor: hospital</v>
      </c>
      <c r="B23" s="85" t="s">
        <v>255</v>
      </c>
      <c r="C23" s="21"/>
    </row>
    <row r="24" spans="1:3" x14ac:dyDescent="0.15">
      <c r="A24" t="str">
        <f>'Programs to include'!A13</f>
        <v>IFAS not poor: hospital (malaria area)</v>
      </c>
      <c r="B24" s="85" t="s">
        <v>254</v>
      </c>
      <c r="C24" s="21"/>
    </row>
    <row r="25" spans="1:3" x14ac:dyDescent="0.15">
      <c r="A25" t="str">
        <f>A24</f>
        <v>IFAS not poor: hospital (malaria area)</v>
      </c>
      <c r="B25" s="85" t="s">
        <v>255</v>
      </c>
      <c r="C25" s="21"/>
    </row>
    <row r="26" spans="1:3" x14ac:dyDescent="0.15">
      <c r="A26" t="str">
        <f>'Programs to include'!A14</f>
        <v>IFAS not poor: retailer</v>
      </c>
      <c r="B26" s="85" t="s">
        <v>254</v>
      </c>
      <c r="C26" s="21"/>
    </row>
    <row r="27" spans="1:3" x14ac:dyDescent="0.15">
      <c r="A27" t="str">
        <f>A26</f>
        <v>IFAS not poor: retailer</v>
      </c>
      <c r="B27" s="85" t="s">
        <v>255</v>
      </c>
      <c r="C27" s="21"/>
    </row>
    <row r="28" spans="1:3" x14ac:dyDescent="0.15">
      <c r="A28" t="str">
        <f>'Programs to include'!A15</f>
        <v>IFAS not poor: retailer (malaria area)</v>
      </c>
      <c r="B28" s="85" t="s">
        <v>254</v>
      </c>
      <c r="C28" s="21"/>
    </row>
    <row r="29" spans="1:3" x14ac:dyDescent="0.15">
      <c r="A29" t="str">
        <f>A28</f>
        <v>IFAS not poor: retailer (malaria area)</v>
      </c>
      <c r="B29" s="85" t="s">
        <v>255</v>
      </c>
      <c r="C29" s="21"/>
    </row>
    <row r="30" spans="1:3" x14ac:dyDescent="0.15">
      <c r="A30" t="str">
        <f>'Programs to include'!A16</f>
        <v>IFAS not poor: school</v>
      </c>
      <c r="B30" s="85" t="s">
        <v>254</v>
      </c>
      <c r="C30" s="21"/>
    </row>
    <row r="31" spans="1:3" x14ac:dyDescent="0.15">
      <c r="A31" t="str">
        <f>A30</f>
        <v>IFAS not poor: school</v>
      </c>
      <c r="B31" s="85" t="s">
        <v>255</v>
      </c>
      <c r="C31" s="21"/>
    </row>
    <row r="32" spans="1:3" x14ac:dyDescent="0.15">
      <c r="A32" t="str">
        <f>'Programs to include'!A17</f>
        <v>IFAS not poor: school (malaria area)</v>
      </c>
      <c r="B32" s="85" t="s">
        <v>254</v>
      </c>
      <c r="C32" s="21"/>
    </row>
    <row r="33" spans="1:3" x14ac:dyDescent="0.15">
      <c r="A33" t="str">
        <f>A32</f>
        <v>IFAS not poor: school (malaria area)</v>
      </c>
      <c r="B33" s="85" t="s">
        <v>255</v>
      </c>
      <c r="C33" s="21"/>
    </row>
    <row r="34" spans="1:3" x14ac:dyDescent="0.15">
      <c r="A34" t="str">
        <f>'Programs to include'!A18</f>
        <v>IFAS poor: community</v>
      </c>
      <c r="B34" s="85" t="s">
        <v>254</v>
      </c>
      <c r="C34" s="21"/>
    </row>
    <row r="35" spans="1:3" x14ac:dyDescent="0.15">
      <c r="A35" t="str">
        <f>A34</f>
        <v>IFAS poor: community</v>
      </c>
      <c r="B35" s="85" t="s">
        <v>255</v>
      </c>
      <c r="C35" s="21"/>
    </row>
    <row r="36" spans="1:3" x14ac:dyDescent="0.15">
      <c r="A36" t="str">
        <f>'Programs to include'!A19</f>
        <v>IFAS poor: community (malaria area)</v>
      </c>
      <c r="B36" s="85" t="s">
        <v>254</v>
      </c>
      <c r="C36" s="21"/>
    </row>
    <row r="37" spans="1:3" x14ac:dyDescent="0.15">
      <c r="A37" t="str">
        <f>A36</f>
        <v>IFAS poor: community (malaria area)</v>
      </c>
      <c r="B37" s="85" t="s">
        <v>255</v>
      </c>
      <c r="C37" s="21"/>
    </row>
    <row r="38" spans="1:3" x14ac:dyDescent="0.15">
      <c r="A38" t="str">
        <f>'Programs to include'!A20</f>
        <v>IFAS poor: hospital</v>
      </c>
      <c r="B38" s="85" t="s">
        <v>254</v>
      </c>
      <c r="C38" s="21"/>
    </row>
    <row r="39" spans="1:3" x14ac:dyDescent="0.15">
      <c r="A39" t="str">
        <f>A38</f>
        <v>IFAS poor: hospital</v>
      </c>
      <c r="B39" s="85" t="s">
        <v>255</v>
      </c>
      <c r="C39" s="21"/>
    </row>
    <row r="40" spans="1:3" x14ac:dyDescent="0.15">
      <c r="A40" t="str">
        <f>'Programs to include'!A21</f>
        <v>IFAS poor: hospital (malaria area)</v>
      </c>
      <c r="B40" s="85" t="s">
        <v>254</v>
      </c>
      <c r="C40" s="21"/>
    </row>
    <row r="41" spans="1:3" x14ac:dyDescent="0.15">
      <c r="A41" t="str">
        <f>A40</f>
        <v>IFAS poor: hospital (malaria area)</v>
      </c>
      <c r="B41" s="85" t="s">
        <v>255</v>
      </c>
      <c r="C41" s="21"/>
    </row>
    <row r="42" spans="1:3" x14ac:dyDescent="0.15">
      <c r="A42" t="str">
        <f>'Programs to include'!A22</f>
        <v>IFAS poor: school</v>
      </c>
      <c r="B42" s="85" t="s">
        <v>254</v>
      </c>
      <c r="C42" s="21"/>
    </row>
    <row r="43" spans="1:3" x14ac:dyDescent="0.15">
      <c r="A43" t="str">
        <f>A42</f>
        <v>IFAS poor: school</v>
      </c>
      <c r="B43" s="85" t="s">
        <v>255</v>
      </c>
      <c r="C43" s="21"/>
    </row>
    <row r="44" spans="1:3" x14ac:dyDescent="0.15">
      <c r="A44" t="str">
        <f>'Programs to include'!A23</f>
        <v>IFAS poor: school (malaria area)</v>
      </c>
      <c r="B44" s="85" t="s">
        <v>254</v>
      </c>
      <c r="C44" s="21"/>
    </row>
    <row r="45" spans="1:3" x14ac:dyDescent="0.15">
      <c r="A45" t="str">
        <f>A44</f>
        <v>IFAS poor: school (malaria area)</v>
      </c>
      <c r="B45" s="85" t="s">
        <v>255</v>
      </c>
      <c r="C45" s="21"/>
    </row>
    <row r="46" spans="1:3" x14ac:dyDescent="0.15">
      <c r="A46" t="str">
        <f>'Programs to include'!A24</f>
        <v>IPTp</v>
      </c>
      <c r="B46" s="85" t="s">
        <v>254</v>
      </c>
      <c r="C46" s="21"/>
    </row>
    <row r="47" spans="1:3" x14ac:dyDescent="0.15">
      <c r="A47" t="str">
        <f>A46</f>
        <v>IPTp</v>
      </c>
      <c r="B47" s="85" t="s">
        <v>255</v>
      </c>
      <c r="C47" s="21"/>
    </row>
    <row r="48" spans="1:3" x14ac:dyDescent="0.15">
      <c r="A48" t="str">
        <f>'Programs to include'!A25</f>
        <v>Iron and folic acid supplementation for pregnant women</v>
      </c>
      <c r="B48" s="85" t="s">
        <v>254</v>
      </c>
      <c r="C48" s="21"/>
    </row>
    <row r="49" spans="1:3" x14ac:dyDescent="0.15">
      <c r="A49" t="str">
        <f>A48</f>
        <v>Iron and folic acid supplementation for pregnant women</v>
      </c>
      <c r="B49" s="85" t="s">
        <v>255</v>
      </c>
      <c r="C49" s="21"/>
    </row>
    <row r="50" spans="1:3" x14ac:dyDescent="0.15">
      <c r="A50" t="str">
        <f>'Programs to include'!A26</f>
        <v>Iron and folic acid supplementation for pregnant women (malaria area)</v>
      </c>
      <c r="B50" s="85" t="s">
        <v>254</v>
      </c>
      <c r="C50" s="21"/>
    </row>
    <row r="51" spans="1:3" x14ac:dyDescent="0.15">
      <c r="A51" t="str">
        <f>A50</f>
        <v>Iron and folic acid supplementation for pregnant women (malaria area)</v>
      </c>
      <c r="B51" s="85" t="s">
        <v>255</v>
      </c>
      <c r="C51" s="21"/>
    </row>
    <row r="52" spans="1:3" x14ac:dyDescent="0.15">
      <c r="A52" t="str">
        <f>'Programs to include'!A27</f>
        <v>Iron and iodine fortification of salt</v>
      </c>
      <c r="B52" s="85" t="s">
        <v>254</v>
      </c>
      <c r="C52" s="21"/>
    </row>
    <row r="53" spans="1:3" x14ac:dyDescent="0.15">
      <c r="A53" t="str">
        <f>A52</f>
        <v>Iron and iodine fortification of salt</v>
      </c>
      <c r="B53" s="85" t="s">
        <v>255</v>
      </c>
      <c r="C53" s="21"/>
    </row>
    <row r="54" spans="1:3" x14ac:dyDescent="0.15">
      <c r="A54" t="str">
        <f>'Programs to include'!A28</f>
        <v>Long-lasting insecticide-treated bednets</v>
      </c>
      <c r="B54" s="85" t="s">
        <v>254</v>
      </c>
      <c r="C54" s="21"/>
    </row>
    <row r="55" spans="1:3" x14ac:dyDescent="0.15">
      <c r="A55" t="str">
        <f>A54</f>
        <v>Long-lasting insecticide-treated bednets</v>
      </c>
      <c r="B55" s="85" t="s">
        <v>255</v>
      </c>
      <c r="C55" s="21"/>
    </row>
    <row r="56" spans="1:3" x14ac:dyDescent="0.15">
      <c r="A56" t="str">
        <f>'Programs to include'!A29</f>
        <v>Mg for eclampsia</v>
      </c>
      <c r="B56" s="85" t="s">
        <v>254</v>
      </c>
      <c r="C56" s="21"/>
    </row>
    <row r="57" spans="1:3" x14ac:dyDescent="0.15">
      <c r="A57" t="str">
        <f>A56</f>
        <v>Mg for eclampsia</v>
      </c>
      <c r="B57" s="85" t="s">
        <v>255</v>
      </c>
      <c r="C57" s="21"/>
    </row>
    <row r="58" spans="1:3" x14ac:dyDescent="0.15">
      <c r="A58" t="str">
        <f>'Programs to include'!A30</f>
        <v>Mg for pre-eclampsia</v>
      </c>
      <c r="B58" s="85" t="s">
        <v>254</v>
      </c>
      <c r="C58" s="21"/>
    </row>
    <row r="59" spans="1:3" x14ac:dyDescent="0.15">
      <c r="A59" t="str">
        <f>A58</f>
        <v>Mg for pre-eclampsia</v>
      </c>
      <c r="B59" s="85" t="s">
        <v>255</v>
      </c>
      <c r="C59" s="21"/>
    </row>
    <row r="60" spans="1:3" x14ac:dyDescent="0.15">
      <c r="A60" t="str">
        <f>'Programs to include'!A31</f>
        <v>Multiple micronutrient supplementation</v>
      </c>
      <c r="B60" s="85" t="s">
        <v>254</v>
      </c>
      <c r="C60" s="21"/>
    </row>
    <row r="61" spans="1:3" x14ac:dyDescent="0.15">
      <c r="A61" t="str">
        <f>A60</f>
        <v>Multiple micronutrient supplementation</v>
      </c>
      <c r="B61" s="85" t="s">
        <v>255</v>
      </c>
      <c r="C61" s="21"/>
    </row>
    <row r="62" spans="1:3" x14ac:dyDescent="0.15">
      <c r="A62" t="str">
        <f>'Programs to include'!A32</f>
        <v>Multiple micronutrient supplementation (malaria area)</v>
      </c>
      <c r="B62" s="85" t="s">
        <v>254</v>
      </c>
      <c r="C62" s="21"/>
    </row>
    <row r="63" spans="1:3" x14ac:dyDescent="0.15">
      <c r="A63" t="str">
        <f>A62</f>
        <v>Multiple micronutrient supplementation (malaria area)</v>
      </c>
      <c r="B63" s="85" t="s">
        <v>255</v>
      </c>
      <c r="C63" s="21"/>
    </row>
    <row r="64" spans="1:3" x14ac:dyDescent="0.15">
      <c r="A64" t="str">
        <f>'Programs to include'!A33</f>
        <v>Oral rehydration salts</v>
      </c>
      <c r="B64" s="85" t="s">
        <v>254</v>
      </c>
      <c r="C64" s="21"/>
    </row>
    <row r="65" spans="1:3" x14ac:dyDescent="0.15">
      <c r="A65" t="str">
        <f>A64</f>
        <v>Oral rehydration salts</v>
      </c>
      <c r="B65" s="85" t="s">
        <v>255</v>
      </c>
      <c r="C65" s="21"/>
    </row>
    <row r="66" spans="1:3" x14ac:dyDescent="0.15">
      <c r="A66" t="str">
        <f>'Programs to include'!A34</f>
        <v>Public provision of complementary foods</v>
      </c>
      <c r="B66" s="85" t="s">
        <v>254</v>
      </c>
      <c r="C66" s="21"/>
    </row>
    <row r="67" spans="1:3" x14ac:dyDescent="0.15">
      <c r="A67" t="str">
        <f>A66</f>
        <v>Public provision of complementary foods</v>
      </c>
      <c r="B67" s="85" t="s">
        <v>255</v>
      </c>
      <c r="C67" s="21"/>
    </row>
    <row r="68" spans="1:3" x14ac:dyDescent="0.15">
      <c r="A68" t="str">
        <f>'Programs to include'!A35</f>
        <v>Public provision of complementary foods with iron</v>
      </c>
      <c r="B68" s="85" t="s">
        <v>254</v>
      </c>
      <c r="C68" s="21"/>
    </row>
    <row r="69" spans="1:3" x14ac:dyDescent="0.15">
      <c r="A69" t="str">
        <f>A68</f>
        <v>Public provision of complementary foods with iron</v>
      </c>
      <c r="B69" s="85" t="s">
        <v>255</v>
      </c>
      <c r="C69" s="21"/>
    </row>
    <row r="70" spans="1:3" x14ac:dyDescent="0.15">
      <c r="A70" t="str">
        <f>'Programs to include'!A36</f>
        <v>Public provision of complementary foods with iron (malaria area)</v>
      </c>
      <c r="B70" s="85" t="s">
        <v>254</v>
      </c>
      <c r="C70" s="21"/>
    </row>
    <row r="71" spans="1:3" x14ac:dyDescent="0.15">
      <c r="A71" t="str">
        <f>A70</f>
        <v>Public provision of complementary foods with iron (malaria area)</v>
      </c>
      <c r="B71" s="85" t="s">
        <v>255</v>
      </c>
      <c r="C71" s="21"/>
    </row>
    <row r="72" spans="1:3" x14ac:dyDescent="0.15">
      <c r="A72" t="str">
        <f>'Programs to include'!A37</f>
        <v>Sprinkles</v>
      </c>
      <c r="B72" s="85" t="s">
        <v>254</v>
      </c>
      <c r="C72" s="21"/>
    </row>
    <row r="73" spans="1:3" x14ac:dyDescent="0.15">
      <c r="A73" t="str">
        <f>A72</f>
        <v>Sprinkles</v>
      </c>
      <c r="B73" s="85" t="s">
        <v>255</v>
      </c>
      <c r="C73" s="21"/>
    </row>
    <row r="74" spans="1:3" x14ac:dyDescent="0.15">
      <c r="A74" t="str">
        <f>'Programs to include'!A38</f>
        <v>Sprinkles (malaria area)</v>
      </c>
      <c r="B74" s="85" t="s">
        <v>254</v>
      </c>
      <c r="C74" s="21"/>
    </row>
    <row r="75" spans="1:3" x14ac:dyDescent="0.15">
      <c r="A75" t="str">
        <f>A74</f>
        <v>Sprinkles (malaria area)</v>
      </c>
      <c r="B75" s="85" t="s">
        <v>255</v>
      </c>
      <c r="C75" s="21"/>
    </row>
    <row r="76" spans="1:3" x14ac:dyDescent="0.15">
      <c r="A76" t="str">
        <f>'Programs to include'!A39</f>
        <v>Treatment of MAM</v>
      </c>
      <c r="B76" s="85" t="s">
        <v>254</v>
      </c>
      <c r="C76" s="21"/>
    </row>
    <row r="77" spans="1:3" x14ac:dyDescent="0.15">
      <c r="A77" t="str">
        <f>A76</f>
        <v>Treatment of MAM</v>
      </c>
      <c r="B77" s="85" t="s">
        <v>255</v>
      </c>
      <c r="C77" s="21"/>
    </row>
    <row r="78" spans="1:3" x14ac:dyDescent="0.15">
      <c r="A78" t="str">
        <f>'Programs to include'!A40</f>
        <v>Treatment of SAM</v>
      </c>
      <c r="B78" s="85" t="s">
        <v>254</v>
      </c>
      <c r="C78" s="21"/>
    </row>
    <row r="79" spans="1:3" x14ac:dyDescent="0.15">
      <c r="A79" t="str">
        <f>A78</f>
        <v>Treatment of SAM</v>
      </c>
      <c r="B79" s="85" t="s">
        <v>255</v>
      </c>
      <c r="C79" s="21"/>
    </row>
    <row r="80" spans="1:3" x14ac:dyDescent="0.15">
      <c r="A80" t="str">
        <f>'Programs to include'!A41</f>
        <v>Vitamin A supplementation</v>
      </c>
      <c r="B80" s="85" t="s">
        <v>254</v>
      </c>
      <c r="C80" s="21"/>
    </row>
    <row r="81" spans="1:3" x14ac:dyDescent="0.15">
      <c r="A81" t="str">
        <f>A80</f>
        <v>Vitamin A supplementation</v>
      </c>
      <c r="B81" s="85" t="s">
        <v>255</v>
      </c>
      <c r="C81" s="21"/>
    </row>
    <row r="82" spans="1:3" x14ac:dyDescent="0.15">
      <c r="A82" t="str">
        <f>'Programs to include'!A42</f>
        <v>WASH: Handwashing</v>
      </c>
      <c r="B82" s="85" t="s">
        <v>254</v>
      </c>
      <c r="C82" s="21"/>
    </row>
    <row r="83" spans="1:3" x14ac:dyDescent="0.15">
      <c r="A83" t="str">
        <f>A82</f>
        <v>WASH: Handwashing</v>
      </c>
      <c r="B83" s="85" t="s">
        <v>255</v>
      </c>
      <c r="C83" s="21"/>
    </row>
    <row r="84" spans="1:3" x14ac:dyDescent="0.15">
      <c r="A84" t="str">
        <f>'Programs to include'!A43</f>
        <v>WASH: Hygenic disposal</v>
      </c>
      <c r="B84" s="85" t="s">
        <v>254</v>
      </c>
      <c r="C84" s="21"/>
    </row>
    <row r="85" spans="1:3" x14ac:dyDescent="0.15">
      <c r="A85" t="str">
        <f>A84</f>
        <v>WASH: Hygenic disposal</v>
      </c>
      <c r="B85" s="85" t="s">
        <v>255</v>
      </c>
      <c r="C85" s="21"/>
    </row>
    <row r="86" spans="1:3" x14ac:dyDescent="0.15">
      <c r="A86" t="str">
        <f>'Programs to include'!A44</f>
        <v>WASH: Improved sanitation</v>
      </c>
      <c r="B86" s="85" t="s">
        <v>254</v>
      </c>
      <c r="C86" s="21"/>
    </row>
    <row r="87" spans="1:3" x14ac:dyDescent="0.15">
      <c r="A87" t="str">
        <f>A86</f>
        <v>WASH: Improved sanitation</v>
      </c>
      <c r="B87" s="85" t="s">
        <v>255</v>
      </c>
      <c r="C87" s="21"/>
    </row>
    <row r="88" spans="1:3" x14ac:dyDescent="0.15">
      <c r="A88" t="str">
        <f>'Programs to include'!A45</f>
        <v>WASH: Improved water source</v>
      </c>
      <c r="B88" s="85" t="s">
        <v>254</v>
      </c>
      <c r="C88" s="21"/>
    </row>
    <row r="89" spans="1:3" x14ac:dyDescent="0.15">
      <c r="A89" t="str">
        <f>A88</f>
        <v>WASH: Improved water source</v>
      </c>
      <c r="B89" s="85" t="s">
        <v>255</v>
      </c>
      <c r="C89" s="21"/>
    </row>
    <row r="90" spans="1:3" x14ac:dyDescent="0.15">
      <c r="A90" t="str">
        <f>'Programs to include'!A46</f>
        <v>WASH: Piped water</v>
      </c>
      <c r="B90" s="85" t="s">
        <v>254</v>
      </c>
      <c r="C90" s="21"/>
    </row>
    <row r="91" spans="1:3" x14ac:dyDescent="0.15">
      <c r="A91" t="str">
        <f>A90</f>
        <v>WASH: Piped water</v>
      </c>
      <c r="B91" s="85" t="s">
        <v>255</v>
      </c>
      <c r="C91" s="21"/>
    </row>
    <row r="92" spans="1:3" x14ac:dyDescent="0.15">
      <c r="A92" t="str">
        <f>'Programs to include'!A47</f>
        <v>Zinc for treatment + ORS</v>
      </c>
      <c r="B92" s="85" t="s">
        <v>254</v>
      </c>
      <c r="C92" s="21"/>
    </row>
    <row r="93" spans="1:3" x14ac:dyDescent="0.15">
      <c r="A93" t="str">
        <f>A92</f>
        <v>Zinc for treatment + ORS</v>
      </c>
      <c r="B93" s="85" t="s">
        <v>255</v>
      </c>
      <c r="C93" s="21"/>
    </row>
    <row r="94" spans="1:3" x14ac:dyDescent="0.15">
      <c r="A94" t="str">
        <f>'Programs to include'!A48</f>
        <v>Zinc supplementation</v>
      </c>
      <c r="B94" s="85" t="s">
        <v>254</v>
      </c>
      <c r="C94" s="21"/>
    </row>
    <row r="95" spans="1:3" x14ac:dyDescent="0.15">
      <c r="A95" t="str">
        <f>A94</f>
        <v>Zinc supplementation</v>
      </c>
      <c r="B95" s="85" t="s">
        <v>255</v>
      </c>
      <c r="C95" s="21"/>
    </row>
    <row r="96" spans="1:3" x14ac:dyDescent="0.15">
      <c r="A96" t="str">
        <f>'Programs to include'!A49</f>
        <v>IYCF 1</v>
      </c>
      <c r="B96" s="85" t="s">
        <v>254</v>
      </c>
      <c r="C96" s="21"/>
    </row>
    <row r="97" spans="1:3" x14ac:dyDescent="0.15">
      <c r="A97" t="str">
        <f>A96</f>
        <v>IYCF 1</v>
      </c>
      <c r="B97" s="85" t="s">
        <v>255</v>
      </c>
      <c r="C97" s="21"/>
    </row>
    <row r="98" spans="1:3" x14ac:dyDescent="0.15">
      <c r="A98" t="str">
        <f>'Programs to include'!A50</f>
        <v>IYCF 2</v>
      </c>
      <c r="B98" s="85" t="s">
        <v>254</v>
      </c>
      <c r="C98" s="21"/>
    </row>
    <row r="99" spans="1:3" x14ac:dyDescent="0.15">
      <c r="A99" t="str">
        <f>A98</f>
        <v>IYCF 2</v>
      </c>
      <c r="B99" s="85" t="s">
        <v>255</v>
      </c>
      <c r="C99" s="21"/>
    </row>
    <row r="100" spans="1:3" x14ac:dyDescent="0.15">
      <c r="A100" t="str">
        <f>'Programs to include'!A51</f>
        <v>IYCF 3</v>
      </c>
      <c r="B100" s="85" t="s">
        <v>254</v>
      </c>
      <c r="C100" s="21"/>
    </row>
    <row r="101" spans="1:3" x14ac:dyDescent="0.15">
      <c r="A101" t="str">
        <f>A100</f>
        <v>IYCF 3</v>
      </c>
      <c r="B101" s="85" t="s">
        <v>255</v>
      </c>
      <c r="C101" s="21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abSelected="1" topLeftCell="A15" workbookViewId="0">
      <selection activeCell="B39" sqref="B39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5"/>
    </row>
    <row r="3" spans="1:2" x14ac:dyDescent="0.15">
      <c r="A3" s="118" t="s">
        <v>240</v>
      </c>
      <c r="B3" s="85"/>
    </row>
    <row r="4" spans="1:2" x14ac:dyDescent="0.15">
      <c r="A4" s="4" t="s">
        <v>210</v>
      </c>
      <c r="B4" s="85"/>
    </row>
    <row r="5" spans="1:2" x14ac:dyDescent="0.15">
      <c r="A5" s="4" t="s">
        <v>139</v>
      </c>
      <c r="B5" s="85" t="s">
        <v>161</v>
      </c>
    </row>
    <row r="6" spans="1:2" x14ac:dyDescent="0.15">
      <c r="A6" t="s">
        <v>181</v>
      </c>
      <c r="B6" s="85"/>
    </row>
    <row r="7" spans="1:2" x14ac:dyDescent="0.15">
      <c r="A7" s="12" t="s">
        <v>141</v>
      </c>
      <c r="B7" s="85" t="s">
        <v>161</v>
      </c>
    </row>
    <row r="8" spans="1:2" x14ac:dyDescent="0.15">
      <c r="A8" s="12" t="s">
        <v>142</v>
      </c>
      <c r="B8" s="85"/>
    </row>
    <row r="9" spans="1:2" x14ac:dyDescent="0.15">
      <c r="A9" s="12" t="s">
        <v>140</v>
      </c>
      <c r="B9" s="85"/>
    </row>
    <row r="10" spans="1:2" x14ac:dyDescent="0.15">
      <c r="A10" t="s">
        <v>120</v>
      </c>
      <c r="B10" s="85"/>
    </row>
    <row r="11" spans="1:2" x14ac:dyDescent="0.15">
      <c r="A11" t="s">
        <v>128</v>
      </c>
      <c r="B11" s="85"/>
    </row>
    <row r="12" spans="1:2" x14ac:dyDescent="0.15">
      <c r="A12" t="s">
        <v>121</v>
      </c>
      <c r="B12" s="85"/>
    </row>
    <row r="13" spans="1:2" x14ac:dyDescent="0.15">
      <c r="A13" t="s">
        <v>129</v>
      </c>
      <c r="B13" s="85"/>
    </row>
    <row r="14" spans="1:2" x14ac:dyDescent="0.15">
      <c r="A14" t="s">
        <v>122</v>
      </c>
      <c r="B14" s="85"/>
    </row>
    <row r="15" spans="1:2" x14ac:dyDescent="0.15">
      <c r="A15" t="s">
        <v>130</v>
      </c>
      <c r="B15" s="85"/>
    </row>
    <row r="16" spans="1:2" x14ac:dyDescent="0.15">
      <c r="A16" t="s">
        <v>119</v>
      </c>
      <c r="B16" s="85"/>
    </row>
    <row r="17" spans="1:2" x14ac:dyDescent="0.15">
      <c r="A17" t="s">
        <v>127</v>
      </c>
      <c r="B17" s="85"/>
    </row>
    <row r="18" spans="1:2" x14ac:dyDescent="0.15">
      <c r="A18" t="s">
        <v>117</v>
      </c>
      <c r="B18" s="85"/>
    </row>
    <row r="19" spans="1:2" x14ac:dyDescent="0.15">
      <c r="A19" t="s">
        <v>125</v>
      </c>
      <c r="B19" s="85"/>
    </row>
    <row r="20" spans="1:2" x14ac:dyDescent="0.15">
      <c r="A20" t="s">
        <v>118</v>
      </c>
      <c r="B20" s="85"/>
    </row>
    <row r="21" spans="1:2" x14ac:dyDescent="0.15">
      <c r="A21" t="s">
        <v>126</v>
      </c>
      <c r="B21" s="85"/>
    </row>
    <row r="22" spans="1:2" x14ac:dyDescent="0.15">
      <c r="A22" t="s">
        <v>116</v>
      </c>
      <c r="B22" s="85"/>
    </row>
    <row r="23" spans="1:2" x14ac:dyDescent="0.15">
      <c r="A23" t="s">
        <v>124</v>
      </c>
      <c r="B23" s="85"/>
    </row>
    <row r="24" spans="1:2" x14ac:dyDescent="0.15">
      <c r="A24" t="s">
        <v>115</v>
      </c>
      <c r="B24" s="85" t="s">
        <v>161</v>
      </c>
    </row>
    <row r="25" spans="1:2" x14ac:dyDescent="0.15">
      <c r="A25" s="4" t="s">
        <v>76</v>
      </c>
      <c r="B25" s="85"/>
    </row>
    <row r="26" spans="1:2" x14ac:dyDescent="0.15">
      <c r="A26" s="4" t="s">
        <v>135</v>
      </c>
      <c r="B26" s="85"/>
    </row>
    <row r="27" spans="1:2" x14ac:dyDescent="0.15">
      <c r="A27" s="4" t="s">
        <v>93</v>
      </c>
      <c r="B27" s="85"/>
    </row>
    <row r="28" spans="1:2" x14ac:dyDescent="0.15">
      <c r="A28" s="4" t="s">
        <v>77</v>
      </c>
      <c r="B28" s="85"/>
    </row>
    <row r="29" spans="1:2" x14ac:dyDescent="0.15">
      <c r="A29" s="4" t="s">
        <v>212</v>
      </c>
      <c r="B29" s="85"/>
    </row>
    <row r="30" spans="1:2" x14ac:dyDescent="0.15">
      <c r="A30" s="4" t="s">
        <v>211</v>
      </c>
      <c r="B30" s="85"/>
    </row>
    <row r="31" spans="1:2" x14ac:dyDescent="0.15">
      <c r="A31" t="s">
        <v>131</v>
      </c>
    </row>
    <row r="32" spans="1:2" x14ac:dyDescent="0.15">
      <c r="A32" t="s">
        <v>134</v>
      </c>
      <c r="B32" s="85"/>
    </row>
    <row r="33" spans="1:2" x14ac:dyDescent="0.15">
      <c r="A33" t="s">
        <v>209</v>
      </c>
      <c r="B33" s="85"/>
    </row>
    <row r="34" spans="1:2" x14ac:dyDescent="0.15">
      <c r="A34" s="4" t="s">
        <v>123</v>
      </c>
      <c r="B34" s="85"/>
    </row>
    <row r="35" spans="1:2" x14ac:dyDescent="0.15">
      <c r="A35" s="4" t="s">
        <v>74</v>
      </c>
    </row>
    <row r="36" spans="1:2" x14ac:dyDescent="0.15">
      <c r="A36" s="4" t="s">
        <v>132</v>
      </c>
      <c r="B36" s="85"/>
    </row>
    <row r="37" spans="1:2" x14ac:dyDescent="0.15">
      <c r="A37" s="4" t="s">
        <v>73</v>
      </c>
    </row>
    <row r="38" spans="1:2" x14ac:dyDescent="0.15">
      <c r="A38" s="17" t="s">
        <v>133</v>
      </c>
      <c r="B38" s="85" t="s">
        <v>161</v>
      </c>
    </row>
    <row r="39" spans="1:2" x14ac:dyDescent="0.15">
      <c r="A39" s="4" t="s">
        <v>147</v>
      </c>
      <c r="B39" s="85"/>
    </row>
    <row r="40" spans="1:2" x14ac:dyDescent="0.15">
      <c r="A40" s="4" t="s">
        <v>148</v>
      </c>
      <c r="B40" s="85" t="s">
        <v>161</v>
      </c>
    </row>
    <row r="41" spans="1:2" x14ac:dyDescent="0.15">
      <c r="A41" s="4" t="s">
        <v>47</v>
      </c>
      <c r="B41" s="85" t="s">
        <v>161</v>
      </c>
    </row>
    <row r="42" spans="1:2" x14ac:dyDescent="0.15">
      <c r="A42" t="s">
        <v>208</v>
      </c>
      <c r="B42" s="85"/>
    </row>
    <row r="43" spans="1:2" x14ac:dyDescent="0.15">
      <c r="A43" t="s">
        <v>207</v>
      </c>
      <c r="B43" s="85"/>
    </row>
    <row r="44" spans="1:2" x14ac:dyDescent="0.15">
      <c r="A44" t="s">
        <v>206</v>
      </c>
      <c r="B44" s="85"/>
    </row>
    <row r="45" spans="1:2" x14ac:dyDescent="0.15">
      <c r="A45" t="s">
        <v>204</v>
      </c>
      <c r="B45" s="85"/>
    </row>
    <row r="46" spans="1:2" x14ac:dyDescent="0.15">
      <c r="A46" t="s">
        <v>205</v>
      </c>
      <c r="B46" s="85"/>
    </row>
    <row r="47" spans="1:2" x14ac:dyDescent="0.15">
      <c r="A47" t="s">
        <v>213</v>
      </c>
      <c r="B47" s="85" t="s">
        <v>161</v>
      </c>
    </row>
    <row r="48" spans="1:2" x14ac:dyDescent="0.15">
      <c r="A48" s="4" t="s">
        <v>136</v>
      </c>
      <c r="B48" s="85"/>
    </row>
    <row r="49" spans="1:2" x14ac:dyDescent="0.15">
      <c r="A49" s="11" t="s">
        <v>157</v>
      </c>
      <c r="B49" s="85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7"/>
      <c r="D2" s="87"/>
      <c r="E2" s="87"/>
      <c r="F2" s="87"/>
      <c r="G2" s="87"/>
      <c r="H2" s="87"/>
      <c r="I2" s="87"/>
      <c r="J2" s="87"/>
      <c r="K2" s="87">
        <f>SUM(Distributions!$C$4:$C$5)</f>
        <v>0.15233139534883727</v>
      </c>
    </row>
    <row r="3" spans="1:11" x14ac:dyDescent="0.15">
      <c r="B3" s="10" t="s">
        <v>7</v>
      </c>
      <c r="C3" s="87"/>
      <c r="D3" s="87"/>
      <c r="E3" s="87"/>
      <c r="F3" s="87"/>
      <c r="G3" s="87"/>
      <c r="H3" s="87"/>
      <c r="I3" s="87"/>
      <c r="J3" s="87"/>
      <c r="K3" s="87">
        <f>SUM(Distributions!D$4:D$5)</f>
        <v>0.15233139534883727</v>
      </c>
    </row>
    <row r="4" spans="1:11" x14ac:dyDescent="0.15">
      <c r="B4" s="10" t="s">
        <v>8</v>
      </c>
      <c r="C4" s="87"/>
      <c r="D4" s="87"/>
      <c r="E4" s="87"/>
      <c r="F4" s="87"/>
      <c r="G4" s="87"/>
      <c r="H4" s="87"/>
      <c r="I4" s="87"/>
      <c r="J4" s="87"/>
      <c r="K4" s="87">
        <f>SUM(Distributions!E$4:E$5)</f>
        <v>0.22277034883720931</v>
      </c>
    </row>
    <row r="5" spans="1:11" x14ac:dyDescent="0.15">
      <c r="B5" s="10" t="s">
        <v>9</v>
      </c>
      <c r="C5" s="87"/>
      <c r="D5" s="87"/>
      <c r="E5" s="87"/>
      <c r="F5" s="87"/>
      <c r="G5" s="87"/>
      <c r="H5" s="87"/>
      <c r="I5" s="87"/>
      <c r="J5" s="87"/>
      <c r="K5" s="87">
        <f>SUM(Distributions!F$4:F$5)</f>
        <v>0.43580523255813952</v>
      </c>
    </row>
    <row r="6" spans="1:11" x14ac:dyDescent="0.15">
      <c r="B6" s="10" t="s">
        <v>10</v>
      </c>
      <c r="C6" s="87"/>
      <c r="D6" s="87"/>
      <c r="E6" s="87"/>
      <c r="F6" s="87"/>
      <c r="G6" s="87"/>
      <c r="H6" s="87"/>
      <c r="I6" s="87"/>
      <c r="J6" s="87"/>
      <c r="K6" s="87">
        <f>SUM(Distributions!G$4:G$5)</f>
        <v>0.45092383720930235</v>
      </c>
    </row>
    <row r="8" spans="1:11" x14ac:dyDescent="0.15">
      <c r="A8" s="10" t="s">
        <v>27</v>
      </c>
      <c r="B8" s="10" t="s">
        <v>6</v>
      </c>
      <c r="K8" s="87">
        <f>SUM(Distributions!C10:C11)</f>
        <v>9.4E-2</v>
      </c>
    </row>
    <row r="9" spans="1:11" x14ac:dyDescent="0.15">
      <c r="B9" s="10" t="s">
        <v>7</v>
      </c>
      <c r="K9" s="87">
        <f>SUM(Distributions!D10:D11)</f>
        <v>9.4E-2</v>
      </c>
    </row>
    <row r="10" spans="1:11" x14ac:dyDescent="0.15">
      <c r="B10" s="10" t="s">
        <v>8</v>
      </c>
      <c r="K10" s="87">
        <f>SUM(Distributions!E10:E11)</f>
        <v>7.1500000000000008E-2</v>
      </c>
    </row>
    <row r="11" spans="1:11" x14ac:dyDescent="0.15">
      <c r="B11" s="10" t="s">
        <v>9</v>
      </c>
      <c r="K11" s="87">
        <f>SUM(Distributions!F10:F11)</f>
        <v>5.2500000000000005E-2</v>
      </c>
    </row>
    <row r="12" spans="1:11" x14ac:dyDescent="0.15">
      <c r="B12" s="10" t="s">
        <v>10</v>
      </c>
      <c r="K12" s="8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87">
        <f>'Prevalence of anaemia'!C3</f>
        <v>0.05</v>
      </c>
    </row>
    <row r="15" spans="1:11" x14ac:dyDescent="0.15">
      <c r="B15" s="10" t="s">
        <v>7</v>
      </c>
      <c r="K15" s="87">
        <f>'Prevalence of anaemia'!D3</f>
        <v>0.05</v>
      </c>
    </row>
    <row r="16" spans="1:11" x14ac:dyDescent="0.15">
      <c r="B16" s="10" t="s">
        <v>8</v>
      </c>
      <c r="K16" s="87">
        <f>'Prevalence of anaemia'!E3</f>
        <v>0.20159999999999997</v>
      </c>
    </row>
    <row r="17" spans="1:11" x14ac:dyDescent="0.15">
      <c r="B17" s="10" t="s">
        <v>9</v>
      </c>
      <c r="K17" s="87">
        <f>'Prevalence of anaemia'!F3</f>
        <v>0.20159999999999997</v>
      </c>
    </row>
    <row r="18" spans="1:11" x14ac:dyDescent="0.15">
      <c r="B18" s="10" t="s">
        <v>10</v>
      </c>
      <c r="K18" s="87">
        <f>'Prevalence of anaemia'!G3</f>
        <v>0.20159999999999997</v>
      </c>
    </row>
    <row r="19" spans="1:11" x14ac:dyDescent="0.15">
      <c r="B19" s="10" t="s">
        <v>111</v>
      </c>
      <c r="K19" s="87">
        <f>'Prevalence of anaemia'!H3</f>
        <v>0.25695600000000002</v>
      </c>
    </row>
    <row r="20" spans="1:11" x14ac:dyDescent="0.15">
      <c r="B20" s="10" t="s">
        <v>112</v>
      </c>
      <c r="K20" s="87">
        <f>'Prevalence of anaemia'!I3</f>
        <v>0.25695600000000002</v>
      </c>
    </row>
    <row r="21" spans="1:11" x14ac:dyDescent="0.15">
      <c r="B21" s="10" t="s">
        <v>113</v>
      </c>
      <c r="K21" s="87">
        <f>'Prevalence of anaemia'!J3</f>
        <v>0.25695600000000002</v>
      </c>
    </row>
    <row r="22" spans="1:11" x14ac:dyDescent="0.15">
      <c r="B22" s="10" t="s">
        <v>114</v>
      </c>
      <c r="K22" s="87">
        <f>'Prevalence of anaemia'!K3</f>
        <v>0.25695600000000002</v>
      </c>
    </row>
    <row r="23" spans="1:11" x14ac:dyDescent="0.15">
      <c r="B23" s="10" t="s">
        <v>107</v>
      </c>
      <c r="K23" s="87">
        <f>'Prevalence of anaemia'!L3</f>
        <v>0.18353999999999998</v>
      </c>
    </row>
    <row r="24" spans="1:11" x14ac:dyDescent="0.15">
      <c r="B24" s="10" t="s">
        <v>108</v>
      </c>
      <c r="K24" s="87">
        <f>'Prevalence of anaemia'!M3</f>
        <v>0.18353999999999998</v>
      </c>
    </row>
    <row r="25" spans="1:11" x14ac:dyDescent="0.15">
      <c r="B25" s="10" t="s">
        <v>109</v>
      </c>
      <c r="K25" s="87">
        <f>'Prevalence of anaemia'!N3</f>
        <v>0.18353999999999998</v>
      </c>
    </row>
    <row r="26" spans="1:11" x14ac:dyDescent="0.15">
      <c r="B26" s="10" t="s">
        <v>110</v>
      </c>
      <c r="K26" s="87">
        <f>'Prevalence of anaemia'!O3</f>
        <v>0.18353999999999998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0">
        <v>2.7000000000000001E-3</v>
      </c>
      <c r="C2" s="88">
        <v>0</v>
      </c>
      <c r="D2" s="88">
        <v>0</v>
      </c>
      <c r="E2" s="88">
        <v>0</v>
      </c>
      <c r="F2" s="88">
        <v>0</v>
      </c>
      <c r="G2" s="18">
        <v>0</v>
      </c>
      <c r="H2" s="18">
        <v>0</v>
      </c>
      <c r="I2" s="18">
        <v>0</v>
      </c>
      <c r="J2" s="18">
        <v>0</v>
      </c>
    </row>
    <row r="3" spans="1:10" ht="15.75" customHeight="1" x14ac:dyDescent="0.15">
      <c r="A3" s="10" t="s">
        <v>15</v>
      </c>
      <c r="B3" s="20">
        <v>0.1966</v>
      </c>
      <c r="C3" s="88">
        <v>0</v>
      </c>
      <c r="D3" s="88">
        <v>0</v>
      </c>
      <c r="E3" s="88">
        <v>0</v>
      </c>
      <c r="F3" s="88">
        <v>0</v>
      </c>
      <c r="G3" s="18">
        <v>0</v>
      </c>
      <c r="H3" s="18">
        <v>0</v>
      </c>
      <c r="I3" s="18">
        <v>0</v>
      </c>
      <c r="J3" s="18">
        <v>0</v>
      </c>
    </row>
    <row r="4" spans="1:10" ht="15.75" customHeight="1" x14ac:dyDescent="0.15">
      <c r="A4" s="10" t="s">
        <v>16</v>
      </c>
      <c r="B4" s="20">
        <v>6.2100000000000002E-2</v>
      </c>
      <c r="C4" s="88">
        <v>0</v>
      </c>
      <c r="D4" s="88">
        <v>0</v>
      </c>
      <c r="E4" s="88">
        <v>0</v>
      </c>
      <c r="F4" s="88">
        <v>0</v>
      </c>
      <c r="G4" s="18">
        <v>0</v>
      </c>
      <c r="H4" s="18">
        <v>0</v>
      </c>
      <c r="I4" s="18">
        <v>0</v>
      </c>
      <c r="J4" s="18">
        <v>0</v>
      </c>
    </row>
    <row r="5" spans="1:10" ht="15.75" customHeight="1" x14ac:dyDescent="0.15">
      <c r="A5" s="10" t="s">
        <v>18</v>
      </c>
      <c r="B5" s="20">
        <v>0.29289999999999999</v>
      </c>
      <c r="C5" s="88">
        <v>0</v>
      </c>
      <c r="D5" s="88">
        <v>0</v>
      </c>
      <c r="E5" s="88">
        <v>0</v>
      </c>
      <c r="F5" s="88">
        <v>0</v>
      </c>
      <c r="G5" s="18">
        <v>0</v>
      </c>
      <c r="H5" s="18">
        <v>0</v>
      </c>
      <c r="I5" s="18">
        <v>0</v>
      </c>
      <c r="J5" s="18">
        <v>0</v>
      </c>
    </row>
    <row r="6" spans="1:10" ht="15.75" customHeight="1" x14ac:dyDescent="0.15">
      <c r="A6" s="10" t="s">
        <v>21</v>
      </c>
      <c r="B6" s="20">
        <v>0.24709999999999999</v>
      </c>
      <c r="C6" s="88">
        <v>0</v>
      </c>
      <c r="D6" s="88">
        <v>0</v>
      </c>
      <c r="E6" s="88">
        <v>0</v>
      </c>
      <c r="F6" s="88">
        <v>0</v>
      </c>
      <c r="G6" s="18">
        <v>0</v>
      </c>
      <c r="H6" s="18">
        <v>0</v>
      </c>
      <c r="I6" s="18">
        <v>0</v>
      </c>
      <c r="J6" s="18">
        <v>0</v>
      </c>
    </row>
    <row r="7" spans="1:10" ht="15.75" customHeight="1" x14ac:dyDescent="0.15">
      <c r="A7" s="10" t="s">
        <v>22</v>
      </c>
      <c r="B7" s="20">
        <v>4.7999999999999996E-3</v>
      </c>
      <c r="C7" s="88">
        <v>0</v>
      </c>
      <c r="D7" s="88">
        <v>0</v>
      </c>
      <c r="E7" s="88">
        <v>0</v>
      </c>
      <c r="F7" s="88">
        <v>0</v>
      </c>
      <c r="G7" s="18">
        <v>0</v>
      </c>
      <c r="H7" s="18">
        <v>0</v>
      </c>
      <c r="I7" s="18">
        <v>0</v>
      </c>
      <c r="J7" s="18">
        <v>0</v>
      </c>
    </row>
    <row r="8" spans="1:10" ht="15.75" customHeight="1" x14ac:dyDescent="0.15">
      <c r="A8" s="10" t="s">
        <v>43</v>
      </c>
      <c r="B8" s="20">
        <v>0.13200000000000001</v>
      </c>
      <c r="C8" s="88">
        <v>0</v>
      </c>
      <c r="D8" s="88">
        <v>0</v>
      </c>
      <c r="E8" s="88">
        <v>0</v>
      </c>
      <c r="F8" s="88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.75" customHeight="1" x14ac:dyDescent="0.15">
      <c r="A9" s="10" t="s">
        <v>24</v>
      </c>
      <c r="B9" s="20">
        <v>6.1800000000000001E-2</v>
      </c>
      <c r="C9" s="88">
        <v>0</v>
      </c>
      <c r="D9" s="88">
        <v>0</v>
      </c>
      <c r="E9" s="88">
        <v>0</v>
      </c>
      <c r="F9" s="88">
        <v>0</v>
      </c>
      <c r="G9" s="18">
        <v>0</v>
      </c>
      <c r="H9" s="18">
        <v>0</v>
      </c>
      <c r="I9" s="18">
        <v>0</v>
      </c>
      <c r="J9" s="18">
        <v>0</v>
      </c>
    </row>
    <row r="10" spans="1:10" ht="15.75" customHeight="1" x14ac:dyDescent="0.15">
      <c r="A10" s="10" t="s">
        <v>218</v>
      </c>
      <c r="B10" s="88">
        <v>0</v>
      </c>
      <c r="C10" s="20">
        <v>0.1368</v>
      </c>
      <c r="D10" s="20">
        <v>0.1368</v>
      </c>
      <c r="E10" s="20">
        <v>0.1368</v>
      </c>
      <c r="F10" s="20">
        <v>0.1368</v>
      </c>
      <c r="G10" s="18">
        <v>0</v>
      </c>
      <c r="H10" s="18">
        <v>0</v>
      </c>
      <c r="I10" s="18">
        <v>0</v>
      </c>
      <c r="J10" s="18">
        <v>0</v>
      </c>
    </row>
    <row r="11" spans="1:10" ht="15.75" customHeight="1" x14ac:dyDescent="0.15">
      <c r="A11" s="10" t="s">
        <v>219</v>
      </c>
      <c r="B11" s="88">
        <v>0</v>
      </c>
      <c r="C11" s="20">
        <v>0</v>
      </c>
      <c r="D11" s="20">
        <v>0</v>
      </c>
      <c r="E11" s="20">
        <v>0</v>
      </c>
      <c r="F11" s="20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.75" customHeight="1" x14ac:dyDescent="0.15">
      <c r="A12" s="10" t="s">
        <v>28</v>
      </c>
      <c r="B12" s="88">
        <v>0</v>
      </c>
      <c r="C12" s="20">
        <v>0.20660000000000001</v>
      </c>
      <c r="D12" s="20">
        <v>0.20660000000000001</v>
      </c>
      <c r="E12" s="20">
        <v>0.20660000000000001</v>
      </c>
      <c r="F12" s="20">
        <v>0.20660000000000001</v>
      </c>
      <c r="G12" s="18">
        <v>0</v>
      </c>
      <c r="H12" s="18">
        <v>0</v>
      </c>
      <c r="I12" s="18">
        <v>0</v>
      </c>
      <c r="J12" s="18">
        <v>0</v>
      </c>
    </row>
    <row r="13" spans="1:10" ht="15.75" customHeight="1" x14ac:dyDescent="0.15">
      <c r="A13" s="10" t="s">
        <v>29</v>
      </c>
      <c r="B13" s="88">
        <v>0</v>
      </c>
      <c r="C13" s="20">
        <v>2.1100000000000001E-2</v>
      </c>
      <c r="D13" s="20">
        <v>2.1100000000000001E-2</v>
      </c>
      <c r="E13" s="20">
        <v>2.1100000000000001E-2</v>
      </c>
      <c r="F13" s="20">
        <v>2.1100000000000001E-2</v>
      </c>
      <c r="G13" s="18">
        <v>0</v>
      </c>
      <c r="H13" s="18">
        <v>0</v>
      </c>
      <c r="I13" s="18">
        <v>0</v>
      </c>
      <c r="J13" s="18">
        <v>0</v>
      </c>
    </row>
    <row r="14" spans="1:10" ht="15.75" customHeight="1" x14ac:dyDescent="0.15">
      <c r="A14" s="10" t="s">
        <v>30</v>
      </c>
      <c r="B14" s="88">
        <v>0</v>
      </c>
      <c r="C14" s="20">
        <v>7.4999999999999997E-3</v>
      </c>
      <c r="D14" s="20">
        <v>7.4999999999999997E-3</v>
      </c>
      <c r="E14" s="20">
        <v>7.4999999999999997E-3</v>
      </c>
      <c r="F14" s="20">
        <v>7.4999999999999997E-3</v>
      </c>
      <c r="G14" s="18">
        <v>0</v>
      </c>
      <c r="H14" s="18">
        <v>0</v>
      </c>
      <c r="I14" s="18">
        <v>0</v>
      </c>
      <c r="J14" s="18">
        <v>0</v>
      </c>
    </row>
    <row r="15" spans="1:10" ht="15.75" customHeight="1" x14ac:dyDescent="0.15">
      <c r="A15" s="10" t="s">
        <v>31</v>
      </c>
      <c r="B15" s="88">
        <v>0</v>
      </c>
      <c r="C15" s="20">
        <v>8.6199999999999999E-2</v>
      </c>
      <c r="D15" s="20">
        <v>8.6199999999999999E-2</v>
      </c>
      <c r="E15" s="20">
        <v>8.6199999999999999E-2</v>
      </c>
      <c r="F15" s="20">
        <v>8.6199999999999999E-2</v>
      </c>
      <c r="G15" s="18">
        <v>0</v>
      </c>
      <c r="H15" s="18">
        <v>0</v>
      </c>
      <c r="I15" s="18">
        <v>0</v>
      </c>
      <c r="J15" s="18">
        <v>0</v>
      </c>
    </row>
    <row r="16" spans="1:10" ht="15.75" customHeight="1" x14ac:dyDescent="0.15">
      <c r="A16" s="10" t="s">
        <v>32</v>
      </c>
      <c r="B16" s="88">
        <v>0</v>
      </c>
      <c r="C16" s="20">
        <v>2.86E-2</v>
      </c>
      <c r="D16" s="20">
        <v>2.86E-2</v>
      </c>
      <c r="E16" s="20">
        <v>2.86E-2</v>
      </c>
      <c r="F16" s="20">
        <v>2.86E-2</v>
      </c>
      <c r="G16" s="18">
        <v>0</v>
      </c>
      <c r="H16" s="18">
        <v>0</v>
      </c>
      <c r="I16" s="18">
        <v>0</v>
      </c>
      <c r="J16" s="18">
        <v>0</v>
      </c>
    </row>
    <row r="17" spans="1:10" ht="15.75" customHeight="1" x14ac:dyDescent="0.15">
      <c r="A17" s="10" t="s">
        <v>33</v>
      </c>
      <c r="B17" s="88">
        <v>0</v>
      </c>
      <c r="C17" s="20">
        <v>1.5299999999999999E-2</v>
      </c>
      <c r="D17" s="20">
        <v>1.5299999999999999E-2</v>
      </c>
      <c r="E17" s="20">
        <v>1.5299999999999999E-2</v>
      </c>
      <c r="F17" s="20">
        <v>1.5299999999999999E-2</v>
      </c>
      <c r="G17" s="18">
        <v>0</v>
      </c>
      <c r="H17" s="18">
        <v>0</v>
      </c>
      <c r="I17" s="18">
        <v>0</v>
      </c>
      <c r="J17" s="18">
        <v>0</v>
      </c>
    </row>
    <row r="18" spans="1:10" ht="15.75" customHeight="1" x14ac:dyDescent="0.15">
      <c r="A18" s="10" t="s">
        <v>34</v>
      </c>
      <c r="B18" s="88">
        <v>0</v>
      </c>
      <c r="C18" s="20">
        <v>0.13589999999999999</v>
      </c>
      <c r="D18" s="20">
        <v>0.13589999999999999</v>
      </c>
      <c r="E18" s="20">
        <v>0.13589999999999999</v>
      </c>
      <c r="F18" s="20">
        <v>0.13589999999999999</v>
      </c>
      <c r="G18" s="18">
        <v>0</v>
      </c>
      <c r="H18" s="18">
        <v>0</v>
      </c>
      <c r="I18" s="18">
        <v>0</v>
      </c>
      <c r="J18" s="18">
        <v>0</v>
      </c>
    </row>
    <row r="19" spans="1:10" ht="15.75" customHeight="1" x14ac:dyDescent="0.15">
      <c r="A19" s="10" t="s">
        <v>35</v>
      </c>
      <c r="B19" s="88">
        <v>0</v>
      </c>
      <c r="C19" s="20">
        <v>0.36199999999999999</v>
      </c>
      <c r="D19" s="20">
        <v>0.36199999999999999</v>
      </c>
      <c r="E19" s="20">
        <v>0.36199999999999999</v>
      </c>
      <c r="F19" s="20">
        <v>0.36199999999999999</v>
      </c>
      <c r="G19" s="18">
        <v>0</v>
      </c>
      <c r="H19" s="18">
        <v>0</v>
      </c>
      <c r="I19" s="18">
        <v>0</v>
      </c>
      <c r="J19" s="18">
        <v>0</v>
      </c>
    </row>
    <row r="20" spans="1:10" ht="15.75" customHeight="1" x14ac:dyDescent="0.15">
      <c r="A20" s="10" t="s">
        <v>81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20">
        <v>0.10082724000000001</v>
      </c>
      <c r="H20" s="20">
        <v>0.10082724000000001</v>
      </c>
      <c r="I20" s="20">
        <v>0.10082724000000001</v>
      </c>
      <c r="J20" s="20">
        <v>0.10082724000000001</v>
      </c>
    </row>
    <row r="21" spans="1:10" ht="15.75" customHeight="1" x14ac:dyDescent="0.15">
      <c r="A21" s="10" t="s">
        <v>82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20">
        <v>3.1206000000000002E-4</v>
      </c>
      <c r="H21" s="20">
        <v>3.1206000000000002E-4</v>
      </c>
      <c r="I21" s="20">
        <v>3.1206000000000002E-4</v>
      </c>
      <c r="J21" s="20">
        <v>3.1206000000000002E-4</v>
      </c>
    </row>
    <row r="22" spans="1:10" ht="15.75" customHeight="1" x14ac:dyDescent="0.15">
      <c r="A22" s="10" t="s">
        <v>83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20">
        <v>0.15891214000000001</v>
      </c>
      <c r="H22" s="20">
        <v>0.15891214000000001</v>
      </c>
      <c r="I22" s="20">
        <v>0.15891214000000001</v>
      </c>
      <c r="J22" s="20">
        <v>0.15891214000000001</v>
      </c>
    </row>
    <row r="23" spans="1:10" ht="15.75" customHeight="1" x14ac:dyDescent="0.15">
      <c r="A23" s="10" t="s">
        <v>84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20">
        <v>0.12598688999999999</v>
      </c>
      <c r="H23" s="20">
        <v>0.12598688999999999</v>
      </c>
      <c r="I23" s="20">
        <v>0.12598688999999999</v>
      </c>
      <c r="J23" s="20">
        <v>0.12598688999999999</v>
      </c>
    </row>
    <row r="24" spans="1:10" ht="15.75" customHeight="1" x14ac:dyDescent="0.15">
      <c r="A24" s="10" t="s">
        <v>85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20">
        <v>0.12434007</v>
      </c>
      <c r="H24" s="20">
        <v>0.12434007</v>
      </c>
      <c r="I24" s="20">
        <v>0.12434007</v>
      </c>
      <c r="J24" s="20">
        <v>0.12434007</v>
      </c>
    </row>
    <row r="25" spans="1:10" ht="15.75" customHeight="1" x14ac:dyDescent="0.15">
      <c r="A25" s="10" t="s">
        <v>86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20">
        <v>3.9028409999999999E-2</v>
      </c>
      <c r="H25" s="20">
        <v>3.9028409999999999E-2</v>
      </c>
      <c r="I25" s="20">
        <v>3.9028409999999999E-2</v>
      </c>
      <c r="J25" s="20">
        <v>3.9028409999999999E-2</v>
      </c>
    </row>
    <row r="26" spans="1:10" ht="15.75" customHeight="1" x14ac:dyDescent="0.15">
      <c r="A26" s="10" t="s">
        <v>87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20">
        <v>8.5254999999999999E-4</v>
      </c>
      <c r="H26" s="20">
        <v>8.5254999999999999E-4</v>
      </c>
      <c r="I26" s="20">
        <v>8.5254999999999999E-4</v>
      </c>
      <c r="J26" s="20">
        <v>8.5254999999999999E-4</v>
      </c>
    </row>
    <row r="27" spans="1:10" ht="15.75" customHeight="1" x14ac:dyDescent="0.15">
      <c r="A27" s="10" t="s">
        <v>88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20">
        <v>6.8467810000000004E-2</v>
      </c>
      <c r="H27" s="20">
        <v>6.8467810000000004E-2</v>
      </c>
      <c r="I27" s="20">
        <v>6.8467810000000004E-2</v>
      </c>
      <c r="J27" s="20">
        <v>6.8467810000000004E-2</v>
      </c>
    </row>
    <row r="28" spans="1:10" ht="15.75" customHeight="1" x14ac:dyDescent="0.15">
      <c r="A28" s="10" t="s">
        <v>89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20">
        <v>0.38127283000000001</v>
      </c>
      <c r="H28" s="20">
        <v>0.38127283000000001</v>
      </c>
      <c r="I28" s="20">
        <v>0.38127283000000001</v>
      </c>
      <c r="J28" s="20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J12" sqref="J12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77">
        <f t="shared" ref="C2:G2" si="0">(1-_xlfn.NORM.DIST(_xlfn.NORM.INV(SUM(C4:C5), 0, 1) + 1, 0, 1, TRUE))</f>
        <v>0.51056495413549818</v>
      </c>
      <c r="D2" s="77">
        <f t="shared" si="0"/>
        <v>0.51056495413549818</v>
      </c>
      <c r="E2" s="77">
        <f t="shared" si="0"/>
        <v>0.40627812025440124</v>
      </c>
      <c r="F2" s="77">
        <f t="shared" si="0"/>
        <v>0.20090674910205653</v>
      </c>
      <c r="G2" s="77">
        <f t="shared" si="0"/>
        <v>0.1903323050032617</v>
      </c>
    </row>
    <row r="3" spans="1:7" ht="15.75" customHeight="1" x14ac:dyDescent="0.15">
      <c r="A3" s="11"/>
      <c r="B3" s="12" t="s">
        <v>23</v>
      </c>
      <c r="C3" s="77">
        <f t="shared" ref="C3:G3" si="1">1-C2-C4-C5</f>
        <v>0.33710365051566454</v>
      </c>
      <c r="D3" s="77">
        <f t="shared" si="1"/>
        <v>0.33710365051566454</v>
      </c>
      <c r="E3" s="77">
        <f t="shared" si="1"/>
        <v>0.37095153090838945</v>
      </c>
      <c r="F3" s="77">
        <f t="shared" si="1"/>
        <v>0.36328801833980395</v>
      </c>
      <c r="G3" s="77">
        <f t="shared" si="1"/>
        <v>0.358743857787436</v>
      </c>
    </row>
    <row r="4" spans="1:7" ht="15.75" customHeight="1" x14ac:dyDescent="0.15">
      <c r="A4" s="11"/>
      <c r="B4" s="12" t="s">
        <v>25</v>
      </c>
      <c r="C4" s="77">
        <v>9.4143361160803074E-2</v>
      </c>
      <c r="D4" s="77">
        <v>9.4143361160803074E-2</v>
      </c>
      <c r="E4" s="77">
        <v>0.15003530610216659</v>
      </c>
      <c r="F4" s="77">
        <v>0.26756591631882332</v>
      </c>
      <c r="G4" s="77">
        <v>0.28104007652554169</v>
      </c>
    </row>
    <row r="5" spans="1:7" ht="15.75" customHeight="1" x14ac:dyDescent="0.15">
      <c r="A5" s="11"/>
      <c r="B5" s="12" t="s">
        <v>26</v>
      </c>
      <c r="C5" s="77">
        <v>5.8188034188034185E-2</v>
      </c>
      <c r="D5" s="77">
        <v>5.8188034188034185E-2</v>
      </c>
      <c r="E5" s="77">
        <v>7.2735042735042735E-2</v>
      </c>
      <c r="F5" s="77">
        <v>0.16823931623931623</v>
      </c>
      <c r="G5" s="77">
        <v>0.16988376068376065</v>
      </c>
    </row>
    <row r="8" spans="1:7" ht="15.75" customHeight="1" x14ac:dyDescent="0.15">
      <c r="A8" s="4" t="s">
        <v>27</v>
      </c>
      <c r="B8" s="4" t="s">
        <v>14</v>
      </c>
      <c r="C8" s="78">
        <f>(1-_xlfn.NORM.DIST(_xlfn.NORM.INV(SUM(C10:C11), 0, 1) + 1, 0, 1, TRUE))</f>
        <v>0.6241955901533508</v>
      </c>
      <c r="D8" s="78">
        <f t="shared" ref="D8:G8" si="2">(1-_xlfn.NORM.DIST(_xlfn.NORM.INV(SUM(D10:D11), 0, 1) + 1, 0, 1, TRUE))</f>
        <v>0.6241955901533508</v>
      </c>
      <c r="E8" s="78">
        <f t="shared" si="2"/>
        <v>0.67893049969004693</v>
      </c>
      <c r="F8" s="78">
        <f t="shared" si="2"/>
        <v>0.73272724658607158</v>
      </c>
      <c r="G8" s="78">
        <f t="shared" si="2"/>
        <v>0.81198128934787228</v>
      </c>
    </row>
    <row r="9" spans="1:7" ht="15.75" customHeight="1" x14ac:dyDescent="0.15">
      <c r="B9" s="4" t="s">
        <v>23</v>
      </c>
      <c r="C9" s="78">
        <f>1-C8-C10-C11</f>
        <v>0.28180440984664923</v>
      </c>
      <c r="D9" s="78">
        <f t="shared" ref="D9:G9" si="3">1-D8-D10-D11</f>
        <v>0.28180440984664923</v>
      </c>
      <c r="E9" s="78">
        <f t="shared" si="3"/>
        <v>0.24956950030995306</v>
      </c>
      <c r="F9" s="78">
        <f t="shared" si="3"/>
        <v>0.2147727534139284</v>
      </c>
      <c r="G9" s="78">
        <f t="shared" si="3"/>
        <v>0.15831871065212771</v>
      </c>
    </row>
    <row r="10" spans="1:7" ht="15.75" customHeight="1" x14ac:dyDescent="0.15">
      <c r="B10" s="4" t="s">
        <v>143</v>
      </c>
      <c r="C10" s="78">
        <v>5.4000000000000006E-2</v>
      </c>
      <c r="D10" s="78">
        <v>5.4000000000000006E-2</v>
      </c>
      <c r="E10" s="78">
        <v>5.5500000000000001E-2</v>
      </c>
      <c r="F10" s="78">
        <v>4.2500000000000003E-2</v>
      </c>
      <c r="G10" s="78">
        <v>2.2399999999999996E-2</v>
      </c>
    </row>
    <row r="11" spans="1:7" ht="15.75" customHeight="1" x14ac:dyDescent="0.15">
      <c r="B11" s="4" t="s">
        <v>144</v>
      </c>
      <c r="C11" s="78">
        <v>0.04</v>
      </c>
      <c r="D11" s="78">
        <v>0.04</v>
      </c>
      <c r="E11" s="78">
        <v>1.6E-2</v>
      </c>
      <c r="F11" s="78">
        <v>0.01</v>
      </c>
      <c r="G11" s="78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79">
        <v>0.59843137254901968</v>
      </c>
      <c r="D14" s="80">
        <v>0.36304836601307194</v>
      </c>
      <c r="E14" s="79">
        <v>1.0686274509803922E-2</v>
      </c>
      <c r="F14" s="81">
        <v>0</v>
      </c>
      <c r="G14" s="82">
        <v>0</v>
      </c>
    </row>
    <row r="15" spans="1:7" ht="15.75" customHeight="1" x14ac:dyDescent="0.15">
      <c r="B15" s="4" t="s">
        <v>38</v>
      </c>
      <c r="C15" s="79">
        <v>0.13529411764705884</v>
      </c>
      <c r="D15" s="80">
        <v>0.28058823529411764</v>
      </c>
      <c r="E15" s="79">
        <v>4.7794117647058834E-2</v>
      </c>
      <c r="F15" s="82">
        <v>1.4705882352941176E-3</v>
      </c>
      <c r="G15" s="82">
        <v>0</v>
      </c>
    </row>
    <row r="16" spans="1:7" ht="15.75" customHeight="1" x14ac:dyDescent="0.15">
      <c r="B16" s="4" t="s">
        <v>39</v>
      </c>
      <c r="C16" s="79">
        <v>6.2123647604327668E-2</v>
      </c>
      <c r="D16" s="83">
        <v>0.29990726429675429</v>
      </c>
      <c r="E16" s="79">
        <v>0.94151159196290568</v>
      </c>
      <c r="F16" s="82">
        <v>0.77226120556414213</v>
      </c>
      <c r="G16" s="82">
        <v>0</v>
      </c>
    </row>
    <row r="17" spans="2:7" ht="15.75" customHeight="1" x14ac:dyDescent="0.15">
      <c r="B17" s="4" t="s">
        <v>40</v>
      </c>
      <c r="C17" s="79">
        <v>0.20415086219959389</v>
      </c>
      <c r="D17" s="83">
        <v>5.6456134396056151E-2</v>
      </c>
      <c r="E17" s="79">
        <v>8.0158802316065982E-6</v>
      </c>
      <c r="F17" s="82">
        <v>0.2262682062005637</v>
      </c>
      <c r="G17" s="82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4">
        <v>0.92523559322033899</v>
      </c>
      <c r="C2" s="84">
        <v>0.92523559322033899</v>
      </c>
      <c r="D2" s="84">
        <v>3.1371576271186439</v>
      </c>
      <c r="E2" s="84">
        <v>3.0215161016949152</v>
      </c>
      <c r="F2" s="84">
        <v>1.0553516949152542</v>
      </c>
    </row>
    <row r="3" spans="1:6" ht="15.75" customHeight="1" x14ac:dyDescent="0.15">
      <c r="A3" s="127" t="s">
        <v>219</v>
      </c>
      <c r="B3" s="128">
        <v>3.2000000000000001E-2</v>
      </c>
      <c r="C3" s="128">
        <v>3.2000000000000001E-2</v>
      </c>
      <c r="D3" s="128">
        <v>3.2000000000000001E-2</v>
      </c>
      <c r="E3" s="128">
        <v>3.2000000000000001E-2</v>
      </c>
      <c r="F3" s="128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87">
        <f t="shared" ref="C2:O2" si="0">1-C3</f>
        <v>0.95</v>
      </c>
      <c r="D2" s="87">
        <f t="shared" si="0"/>
        <v>0.95</v>
      </c>
      <c r="E2" s="87">
        <f t="shared" si="0"/>
        <v>0.7984</v>
      </c>
      <c r="F2" s="87">
        <f t="shared" si="0"/>
        <v>0.7984</v>
      </c>
      <c r="G2" s="87">
        <f t="shared" si="0"/>
        <v>0.7984</v>
      </c>
      <c r="H2" s="87">
        <f t="shared" si="0"/>
        <v>0.74304400000000004</v>
      </c>
      <c r="I2" s="87">
        <f t="shared" si="0"/>
        <v>0.74304400000000004</v>
      </c>
      <c r="J2" s="87">
        <f t="shared" si="0"/>
        <v>0.74304400000000004</v>
      </c>
      <c r="K2" s="87">
        <f t="shared" si="0"/>
        <v>0.74304400000000004</v>
      </c>
      <c r="L2" s="87">
        <f t="shared" si="0"/>
        <v>0.81645999999999996</v>
      </c>
      <c r="M2" s="87">
        <f t="shared" si="0"/>
        <v>0.81645999999999996</v>
      </c>
      <c r="N2" s="87">
        <f t="shared" si="0"/>
        <v>0.81645999999999996</v>
      </c>
      <c r="O2" s="87">
        <f t="shared" si="0"/>
        <v>0.81645999999999996</v>
      </c>
    </row>
    <row r="3" spans="1:15" x14ac:dyDescent="0.15">
      <c r="B3" t="s">
        <v>222</v>
      </c>
      <c r="C3" s="87">
        <f>C6</f>
        <v>0.05</v>
      </c>
      <c r="D3" s="87">
        <f t="shared" ref="D3:N3" si="1">D6</f>
        <v>0.05</v>
      </c>
      <c r="E3" s="87">
        <f t="shared" si="1"/>
        <v>0.20159999999999997</v>
      </c>
      <c r="F3" s="87">
        <f t="shared" si="1"/>
        <v>0.20159999999999997</v>
      </c>
      <c r="G3" s="87">
        <f t="shared" si="1"/>
        <v>0.20159999999999997</v>
      </c>
      <c r="H3" s="87">
        <f t="shared" si="1"/>
        <v>0.25695600000000002</v>
      </c>
      <c r="I3" s="87">
        <f t="shared" si="1"/>
        <v>0.25695600000000002</v>
      </c>
      <c r="J3" s="87">
        <f t="shared" si="1"/>
        <v>0.25695600000000002</v>
      </c>
      <c r="K3" s="87">
        <f t="shared" si="1"/>
        <v>0.25695600000000002</v>
      </c>
      <c r="L3" s="87">
        <f t="shared" si="1"/>
        <v>0.18353999999999998</v>
      </c>
      <c r="M3" s="87">
        <f t="shared" si="1"/>
        <v>0.18353999999999998</v>
      </c>
      <c r="N3" s="87">
        <f t="shared" si="1"/>
        <v>0.18353999999999998</v>
      </c>
      <c r="O3" s="87">
        <f>O6</f>
        <v>0.18353999999999998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89">
        <v>0.1</v>
      </c>
      <c r="D5" s="89">
        <v>0.1</v>
      </c>
      <c r="E5" s="90">
        <v>0.48</v>
      </c>
      <c r="F5" s="90">
        <v>0.48</v>
      </c>
      <c r="G5" s="91">
        <v>0.48</v>
      </c>
      <c r="H5" s="92">
        <v>0.61180000000000001</v>
      </c>
      <c r="I5" s="92">
        <v>0.61180000000000001</v>
      </c>
      <c r="J5" s="92">
        <v>0.61180000000000001</v>
      </c>
      <c r="K5" s="92">
        <v>0.61180000000000001</v>
      </c>
      <c r="L5" s="92">
        <v>0.437</v>
      </c>
      <c r="M5" s="92">
        <v>0.437</v>
      </c>
      <c r="N5" s="92">
        <v>0.437</v>
      </c>
      <c r="O5" s="92">
        <v>0.437</v>
      </c>
    </row>
    <row r="6" spans="1:15" x14ac:dyDescent="0.15">
      <c r="A6" s="10" t="s">
        <v>224</v>
      </c>
      <c r="B6" t="s">
        <v>222</v>
      </c>
      <c r="C6" s="89">
        <v>0.05</v>
      </c>
      <c r="D6" s="89">
        <v>0.05</v>
      </c>
      <c r="E6" s="126">
        <f>0.42*E5</f>
        <v>0.20159999999999997</v>
      </c>
      <c r="F6" s="126">
        <f t="shared" ref="F6:O6" si="2">0.42*F5</f>
        <v>0.20159999999999997</v>
      </c>
      <c r="G6" s="126">
        <f t="shared" si="2"/>
        <v>0.20159999999999997</v>
      </c>
      <c r="H6" s="126">
        <f t="shared" si="2"/>
        <v>0.25695600000000002</v>
      </c>
      <c r="I6" s="126">
        <f t="shared" si="2"/>
        <v>0.25695600000000002</v>
      </c>
      <c r="J6" s="126">
        <f t="shared" si="2"/>
        <v>0.25695600000000002</v>
      </c>
      <c r="K6" s="126">
        <f t="shared" si="2"/>
        <v>0.25695600000000002</v>
      </c>
      <c r="L6" s="126">
        <f t="shared" si="2"/>
        <v>0.18353999999999998</v>
      </c>
      <c r="M6" s="126">
        <f t="shared" si="2"/>
        <v>0.18353999999999998</v>
      </c>
      <c r="N6" s="126">
        <f t="shared" si="2"/>
        <v>0.18353999999999998</v>
      </c>
      <c r="O6" s="126">
        <f t="shared" si="2"/>
        <v>0.18353999999999998</v>
      </c>
    </row>
    <row r="7" spans="1:15" x14ac:dyDescent="0.15">
      <c r="A7" s="10" t="s">
        <v>225</v>
      </c>
      <c r="B7" t="s">
        <v>222</v>
      </c>
      <c r="C7" s="94">
        <v>2.7699999999999999E-2</v>
      </c>
      <c r="D7" s="94">
        <v>2.7699999999999999E-2</v>
      </c>
      <c r="E7" s="93">
        <v>2.7699999999999999E-2</v>
      </c>
      <c r="F7" s="93">
        <v>2.7699999999999999E-2</v>
      </c>
      <c r="G7" s="93">
        <v>2.7699999999999999E-2</v>
      </c>
      <c r="H7" s="93">
        <v>1.7000000000000001E-2</v>
      </c>
      <c r="I7" s="93">
        <v>1.7000000000000001E-2</v>
      </c>
      <c r="J7" s="93">
        <v>1.7000000000000001E-2</v>
      </c>
      <c r="K7" s="93">
        <v>1.7000000000000001E-2</v>
      </c>
      <c r="L7" s="93">
        <v>1.7000000000000001E-2</v>
      </c>
      <c r="M7" s="93">
        <v>1.7000000000000001E-2</v>
      </c>
      <c r="N7" s="93">
        <v>1.7000000000000001E-2</v>
      </c>
      <c r="O7" s="9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E12" sqref="E12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67" t="s">
        <v>198</v>
      </c>
      <c r="B2" s="68" t="s">
        <v>188</v>
      </c>
      <c r="C2" s="95">
        <v>5.6000000000000001E-2</v>
      </c>
    </row>
    <row r="3" spans="1:3" x14ac:dyDescent="0.15">
      <c r="B3" s="68" t="s">
        <v>189</v>
      </c>
      <c r="C3" s="95">
        <v>5.0000000000000001E-3</v>
      </c>
    </row>
    <row r="4" spans="1:3" x14ac:dyDescent="0.15">
      <c r="B4" s="68" t="s">
        <v>190</v>
      </c>
      <c r="C4" s="95">
        <v>0</v>
      </c>
    </row>
    <row r="5" spans="1:3" x14ac:dyDescent="0.15">
      <c r="B5" s="69" t="s">
        <v>191</v>
      </c>
      <c r="C5" s="95">
        <v>0.152</v>
      </c>
    </row>
    <row r="6" spans="1:3" x14ac:dyDescent="0.15">
      <c r="B6" s="69" t="s">
        <v>192</v>
      </c>
      <c r="C6" s="95">
        <v>0.34200000000000003</v>
      </c>
    </row>
    <row r="7" spans="1:3" x14ac:dyDescent="0.15">
      <c r="B7" s="69" t="s">
        <v>193</v>
      </c>
      <c r="C7" s="95">
        <v>0.29899999999999999</v>
      </c>
    </row>
    <row r="8" spans="1:3" x14ac:dyDescent="0.15">
      <c r="B8" s="70" t="s">
        <v>194</v>
      </c>
      <c r="C8" s="95">
        <v>1E-3</v>
      </c>
    </row>
    <row r="9" spans="1:3" x14ac:dyDescent="0.15">
      <c r="B9" s="70" t="s">
        <v>195</v>
      </c>
      <c r="C9" s="95">
        <v>5.0000000000000001E-3</v>
      </c>
    </row>
    <row r="10" spans="1:3" x14ac:dyDescent="0.15">
      <c r="B10" s="70" t="s">
        <v>196</v>
      </c>
      <c r="C10" s="95">
        <v>0.14099999999999999</v>
      </c>
    </row>
    <row r="11" spans="1:3" x14ac:dyDescent="0.15">
      <c r="C11" s="95"/>
    </row>
    <row r="12" spans="1:3" x14ac:dyDescent="0.15">
      <c r="A12" s="67" t="s">
        <v>197</v>
      </c>
      <c r="B12" s="58" t="s">
        <v>184</v>
      </c>
      <c r="C12" s="95">
        <v>0.20799999999999999</v>
      </c>
    </row>
    <row r="13" spans="1:3" x14ac:dyDescent="0.15">
      <c r="B13" s="58" t="s">
        <v>185</v>
      </c>
      <c r="C13" s="95">
        <v>3.5999999999999997E-2</v>
      </c>
    </row>
    <row r="14" spans="1:3" x14ac:dyDescent="0.15">
      <c r="B14" s="58" t="s">
        <v>186</v>
      </c>
      <c r="C14" s="95">
        <v>0.11899999999999999</v>
      </c>
    </row>
    <row r="15" spans="1:3" x14ac:dyDescent="0.15">
      <c r="B15" s="58" t="s">
        <v>187</v>
      </c>
      <c r="C15" s="9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2018-03-30T02:15:46Z</dcterms:modified>
</cp:coreProperties>
</file>