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tharindu.wickram\Desktop\LiST Optima bridge\App\en\"/>
    </mc:Choice>
  </mc:AlternateContent>
  <xr:revisionPtr revIDLastSave="0" documentId="8_{41C1A276-731F-4ABB-B018-B6374362407B}" xr6:coauthVersionLast="47" xr6:coauthVersionMax="47" xr10:uidLastSave="{00000000-0000-0000-0000-000000000000}"/>
  <bookViews>
    <workbookView xWindow="-110" yWindow="-110" windowWidth="19420" windowHeight="10420" tabRatio="961" firstSheet="10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E126" i="27"/>
  <c r="D126" i="27"/>
  <c r="H125" i="27"/>
  <c r="G125" i="27"/>
  <c r="F125" i="27"/>
  <c r="E125" i="27"/>
  <c r="D125" i="27"/>
  <c r="H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E114" i="27"/>
  <c r="D114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E71" i="27"/>
  <c r="D71" i="27"/>
  <c r="H70" i="27"/>
  <c r="G70" i="27"/>
  <c r="F70" i="27"/>
  <c r="E70" i="27"/>
  <c r="D70" i="27"/>
  <c r="H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E59" i="27"/>
  <c r="D59" i="27"/>
  <c r="E58" i="27"/>
  <c r="D58" i="27"/>
  <c r="H57" i="27"/>
  <c r="G57" i="27"/>
  <c r="F57" i="27"/>
  <c r="E57" i="27"/>
  <c r="D57" i="27"/>
  <c r="G19" i="26"/>
  <c r="F19" i="26"/>
  <c r="D19" i="26"/>
  <c r="C19" i="26"/>
  <c r="C17" i="26"/>
  <c r="F12" i="26"/>
  <c r="D12" i="26"/>
  <c r="C12" i="26"/>
  <c r="E10" i="26"/>
  <c r="C10" i="26"/>
  <c r="G5" i="26"/>
  <c r="G12" i="26" s="1"/>
  <c r="F5" i="26"/>
  <c r="E5" i="26"/>
  <c r="E12" i="26" s="1"/>
  <c r="D5" i="26"/>
  <c r="G3" i="26"/>
  <c r="G17" i="26" s="1"/>
  <c r="F3" i="26"/>
  <c r="F17" i="26" s="1"/>
  <c r="E3" i="26"/>
  <c r="E17" i="26" s="1"/>
  <c r="D3" i="26"/>
  <c r="D17" i="26" s="1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O21" i="25"/>
  <c r="N21" i="25"/>
  <c r="M21" i="25"/>
  <c r="L21" i="25"/>
  <c r="K21" i="25"/>
  <c r="J21" i="25"/>
  <c r="I21" i="25"/>
  <c r="H21" i="25"/>
  <c r="G21" i="25"/>
  <c r="F21" i="25"/>
  <c r="E21" i="25"/>
  <c r="O19" i="25"/>
  <c r="N19" i="25"/>
  <c r="M19" i="25"/>
  <c r="L19" i="25"/>
  <c r="K19" i="25"/>
  <c r="J19" i="25"/>
  <c r="I19" i="25"/>
  <c r="H19" i="25"/>
  <c r="G19" i="25"/>
  <c r="F19" i="25"/>
  <c r="E19" i="25"/>
  <c r="F42" i="24"/>
  <c r="E42" i="24"/>
  <c r="D42" i="24"/>
  <c r="C42" i="24"/>
  <c r="F40" i="24"/>
  <c r="E40" i="24"/>
  <c r="D40" i="24"/>
  <c r="C40" i="24"/>
  <c r="F38" i="24"/>
  <c r="E38" i="24"/>
  <c r="D38" i="24"/>
  <c r="C38" i="24"/>
  <c r="F36" i="24"/>
  <c r="E36" i="24"/>
  <c r="D36" i="24"/>
  <c r="C36" i="24"/>
  <c r="F34" i="24"/>
  <c r="E34" i="24"/>
  <c r="F32" i="24"/>
  <c r="E32" i="24"/>
  <c r="F27" i="24"/>
  <c r="E27" i="24"/>
  <c r="D27" i="24"/>
  <c r="C27" i="24"/>
  <c r="F25" i="24"/>
  <c r="E25" i="24"/>
  <c r="D25" i="24"/>
  <c r="C25" i="24"/>
  <c r="F23" i="24"/>
  <c r="E23" i="24"/>
  <c r="D23" i="24"/>
  <c r="C23" i="24"/>
  <c r="F21" i="24"/>
  <c r="E21" i="24"/>
  <c r="F19" i="24"/>
  <c r="E19" i="24"/>
  <c r="F17" i="24"/>
  <c r="E17" i="24"/>
  <c r="D12" i="24"/>
  <c r="C12" i="24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F8" i="23"/>
  <c r="E8" i="23"/>
  <c r="F7" i="23"/>
  <c r="E7" i="23"/>
  <c r="F6" i="23"/>
  <c r="E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F121" i="20"/>
  <c r="E121" i="20"/>
  <c r="D121" i="20"/>
  <c r="H120" i="20"/>
  <c r="F120" i="20"/>
  <c r="E120" i="20"/>
  <c r="D120" i="20"/>
  <c r="H119" i="20"/>
  <c r="G119" i="20"/>
  <c r="F119" i="20"/>
  <c r="E119" i="20"/>
  <c r="D119" i="20"/>
  <c r="H118" i="20"/>
  <c r="G118" i="20"/>
  <c r="E118" i="20"/>
  <c r="D118" i="20"/>
  <c r="H117" i="20"/>
  <c r="G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D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F68" i="20"/>
  <c r="E68" i="20"/>
  <c r="D68" i="20"/>
  <c r="H67" i="20"/>
  <c r="F67" i="20"/>
  <c r="E67" i="20"/>
  <c r="D67" i="20"/>
  <c r="H66" i="20"/>
  <c r="G66" i="20"/>
  <c r="F66" i="20"/>
  <c r="E66" i="20"/>
  <c r="D66" i="20"/>
  <c r="H65" i="20"/>
  <c r="G65" i="20"/>
  <c r="E65" i="20"/>
  <c r="D65" i="20"/>
  <c r="H64" i="20"/>
  <c r="G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D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E9" i="20"/>
  <c r="E8" i="20"/>
  <c r="D6" i="20"/>
  <c r="D5" i="20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G5" i="5"/>
  <c r="F5" i="5"/>
  <c r="E5" i="5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G9" i="4"/>
  <c r="F9" i="4"/>
  <c r="E9" i="4"/>
  <c r="D9" i="4"/>
  <c r="C9" i="4"/>
  <c r="G8" i="4"/>
  <c r="F8" i="4"/>
  <c r="E8" i="4"/>
  <c r="D8" i="4"/>
  <c r="C8" i="4"/>
  <c r="G3" i="4"/>
  <c r="F3" i="4"/>
  <c r="E3" i="4"/>
  <c r="D3" i="4"/>
  <c r="C3" i="4"/>
  <c r="G2" i="4"/>
  <c r="F2" i="4"/>
  <c r="E2" i="4"/>
  <c r="D2" i="4"/>
  <c r="C2" i="4"/>
  <c r="A1" i="4"/>
  <c r="C35" i="3"/>
  <c r="F23" i="3"/>
  <c r="E23" i="3"/>
  <c r="D23" i="3"/>
  <c r="C23" i="3"/>
  <c r="C11" i="3"/>
  <c r="A1" i="3"/>
  <c r="H40" i="2"/>
  <c r="G40" i="2"/>
  <c r="I40" i="2" s="1"/>
  <c r="I39" i="2"/>
  <c r="H39" i="2"/>
  <c r="G39" i="2"/>
  <c r="H38" i="2"/>
  <c r="G38" i="2"/>
  <c r="I38" i="2" s="1"/>
  <c r="A37" i="2"/>
  <c r="A35" i="2"/>
  <c r="A32" i="2"/>
  <c r="A31" i="2"/>
  <c r="A29" i="2"/>
  <c r="A27" i="2"/>
  <c r="A24" i="2"/>
  <c r="A23" i="2"/>
  <c r="A21" i="2"/>
  <c r="A19" i="2"/>
  <c r="A16" i="2"/>
  <c r="A15" i="2"/>
  <c r="A13" i="2"/>
  <c r="I11" i="2"/>
  <c r="H11" i="2"/>
  <c r="G11" i="2"/>
  <c r="I10" i="2"/>
  <c r="H10" i="2"/>
  <c r="G10" i="2"/>
  <c r="I9" i="2"/>
  <c r="H9" i="2"/>
  <c r="G9" i="2"/>
  <c r="I8" i="2"/>
  <c r="H8" i="2"/>
  <c r="G8" i="2"/>
  <c r="I7" i="2"/>
  <c r="H7" i="2"/>
  <c r="G7" i="2"/>
  <c r="I6" i="2"/>
  <c r="H6" i="2"/>
  <c r="G6" i="2"/>
  <c r="I5" i="2"/>
  <c r="H5" i="2"/>
  <c r="G5" i="2"/>
  <c r="I4" i="2"/>
  <c r="H4" i="2"/>
  <c r="G4" i="2"/>
  <c r="I3" i="2"/>
  <c r="H3" i="2"/>
  <c r="G3" i="2"/>
  <c r="A3" i="2"/>
  <c r="I2" i="2"/>
  <c r="H2" i="2"/>
  <c r="G2" i="2"/>
  <c r="A2" i="2"/>
  <c r="A36" i="2" s="1"/>
  <c r="C33" i="1"/>
  <c r="C20" i="1"/>
  <c r="A14" i="2" l="1"/>
  <c r="A22" i="2"/>
  <c r="A30" i="2"/>
  <c r="A38" i="2"/>
  <c r="A40" i="2"/>
  <c r="D10" i="26"/>
  <c r="E19" i="26"/>
  <c r="F10" i="26"/>
  <c r="A17" i="2"/>
  <c r="A25" i="2"/>
  <c r="A33" i="2"/>
  <c r="G10" i="26"/>
  <c r="A18" i="2"/>
  <c r="A26" i="2"/>
  <c r="A34" i="2"/>
  <c r="A39" i="2"/>
  <c r="A4" i="2"/>
  <c r="A5" i="2" s="1"/>
  <c r="A6" i="2" s="1"/>
  <c r="A7" i="2" s="1"/>
  <c r="A8" i="2" s="1"/>
  <c r="A9" i="2" s="1"/>
  <c r="A10" i="2" s="1"/>
  <c r="A11" i="2" s="1"/>
  <c r="A12" i="2"/>
  <c r="A20" i="2"/>
  <c r="A28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7" authorId="0" shapeId="0" xr:uid="{00000000-0006-0000-0000-000001000000}">
      <text>
        <r>
          <rPr>
            <sz val="10"/>
            <color rgb="FF000000"/>
            <rFont val="Arial"/>
          </rPr>
          <t>Nick Scott:
LiST</t>
        </r>
      </text>
    </comment>
    <comment ref="C8" authorId="0" shapeId="0" xr:uid="{00000000-0006-0000-0000-000002000000}">
      <text>
        <r>
          <rPr>
            <sz val="10"/>
            <color rgb="FF000000"/>
            <rFont val="Arial"/>
          </rPr>
          <t>Nick Scott:
LiiST</t>
        </r>
      </text>
    </comment>
    <comment ref="C9" authorId="0" shapeId="0" xr:uid="{00000000-0006-0000-0000-000003000000}">
      <text>
        <r>
          <rPr>
            <sz val="10"/>
            <color rgb="FF000000"/>
            <rFont val="Arial"/>
          </rPr>
          <t>Nick Scott:
LiST</t>
        </r>
      </text>
    </comment>
    <comment ref="C10" authorId="0" shapeId="0" xr:uid="{00000000-0006-0000-0000-000004000000}">
      <text>
        <r>
          <rPr>
            <sz val="10"/>
            <color rgb="FF000000"/>
            <rFont val="Arial"/>
          </rPr>
          <t>Nick Scott:
Unvalidated</t>
        </r>
      </text>
    </comment>
    <comment ref="C11" authorId="0" shapeId="0" xr:uid="{00000000-0006-0000-0000-000005000000}">
      <text>
        <r>
          <rPr>
            <sz val="10"/>
            <color rgb="FF000000"/>
            <rFont val="Arial"/>
          </rPr>
          <t>Nick Scott:
Unvalidated placeholder</t>
        </r>
      </text>
    </comment>
    <comment ref="C12" authorId="0" shapeId="0" xr:uid="{00000000-0006-0000-0000-000006000000}">
      <text>
        <r>
          <rPr>
            <sz val="10"/>
            <color rgb="FF000000"/>
            <rFont val="Arial"/>
          </rPr>
          <t>Nick Scott:
Unvalidated placeholder</t>
        </r>
      </text>
    </comment>
    <comment ref="C13" authorId="0" shapeId="0" xr:uid="{00000000-0006-0000-0000-000007000000}">
      <text>
        <r>
          <rPr>
            <sz val="10"/>
            <color rgb="FF000000"/>
            <rFont val="Arial"/>
          </rPr>
          <t>Nick Scott:
Unvalidated placeholder</t>
        </r>
      </text>
    </comment>
    <comment ref="C16" authorId="0" shapeId="0" xr:uid="{00000000-0006-0000-0000-000008000000}">
      <text>
        <r>
          <rPr>
            <sz val="10"/>
            <color rgb="FF000000"/>
            <rFont val="Arial"/>
          </rPr>
          <t>Nick Scott:
Unvalidated placeholder</t>
        </r>
      </text>
    </comment>
    <comment ref="C17" authorId="0" shapeId="0" xr:uid="{00000000-0006-0000-0000-000009000000}">
      <text>
        <r>
          <rPr>
            <sz val="10"/>
            <color rgb="FF000000"/>
            <rFont val="Arial"/>
          </rPr>
          <t>Nick Scott:
Unvalidated placeholder</t>
        </r>
      </text>
    </comment>
    <comment ref="C18" authorId="0" shapeId="0" xr:uid="{00000000-0006-0000-0000-00000A000000}">
      <text>
        <r>
          <rPr>
            <sz val="10"/>
            <color rgb="FF000000"/>
            <rFont val="Arial"/>
          </rPr>
          <t>Nick Scott:
Unvalidated placeholder</t>
        </r>
      </text>
    </comment>
    <comment ref="C19" authorId="0" shapeId="0" xr:uid="{00000000-0006-0000-0000-00000B000000}">
      <text>
        <r>
          <rPr>
            <sz val="10"/>
            <color rgb="FF000000"/>
            <rFont val="Arial"/>
          </rPr>
          <t>Nick Scott:
Unvalidated placeholder</t>
        </r>
      </text>
    </comment>
    <comment ref="C23" authorId="0" shapeId="0" xr:uid="{00000000-0006-0000-0000-00000C000000}">
      <text>
        <r>
          <rPr>
            <sz val="10"/>
            <color rgb="FF000000"/>
            <rFont val="Arial"/>
          </rPr>
          <t>Nick Scott:
Unvalidated placeholder</t>
        </r>
      </text>
    </comment>
    <comment ref="C29" authorId="0" shapeId="0" xr:uid="{00000000-0006-0000-0000-00000D000000}">
      <text>
        <r>
          <rPr>
            <sz val="10"/>
            <color rgb="FF000000"/>
            <rFont val="Arial"/>
          </rPr>
          <t>Nick Scott:
LiST</t>
        </r>
      </text>
    </comment>
    <comment ref="C37" authorId="0" shapeId="0" xr:uid="{00000000-0006-0000-0000-00000E000000}">
      <text>
        <r>
          <rPr>
            <sz val="10"/>
            <color rgb="FF000000"/>
            <rFont val="Arial"/>
          </rPr>
          <t>Nick Scott:
LiST</t>
        </r>
      </text>
    </comment>
    <comment ref="C38" authorId="0" shapeId="0" xr:uid="{00000000-0006-0000-0000-00000F000000}">
      <text>
        <r>
          <rPr>
            <sz val="10"/>
            <color rgb="FF000000"/>
            <rFont val="Arial"/>
          </rPr>
          <t>Nick Scott:
LiST</t>
        </r>
      </text>
    </comment>
    <comment ref="C39" authorId="0" shapeId="0" xr:uid="{00000000-0006-0000-0000-000010000000}">
      <text>
        <r>
          <rPr>
            <sz val="10"/>
            <color rgb="FF000000"/>
            <rFont val="Arial"/>
          </rPr>
          <t>Nick Scott:
LiST</t>
        </r>
      </text>
    </comment>
    <comment ref="C40" authorId="0" shapeId="0" xr:uid="{00000000-0006-0000-0000-000011000000}">
      <text>
        <r>
          <rPr>
            <sz val="10"/>
            <color rgb="FF000000"/>
            <rFont val="Arial"/>
          </rPr>
          <t>Nick Scott:
LiST</t>
        </r>
      </text>
    </comment>
    <comment ref="C41" authorId="0" shapeId="0" xr:uid="{00000000-0006-0000-0000-000012000000}">
      <text>
        <r>
          <rPr>
            <sz val="10"/>
            <color rgb="FF000000"/>
            <rFont val="Arial"/>
          </rPr>
          <t>Nick Scott:
LiST</t>
        </r>
      </text>
    </comment>
    <comment ref="C42" authorId="0" shapeId="0" xr:uid="{00000000-0006-0000-0000-000013000000}">
      <text>
        <r>
          <rPr>
            <sz val="10"/>
            <color rgb="FF000000"/>
            <rFont val="Arial"/>
          </rPr>
          <t>Nick Scott:
LiST</t>
        </r>
      </text>
    </comment>
    <comment ref="C45" authorId="0" shapeId="0" xr:uid="{00000000-0006-0000-0000-000014000000}">
      <text>
        <r>
          <rPr>
            <sz val="10"/>
            <color rgb="FF000000"/>
            <rFont val="Arial"/>
          </rPr>
          <t>Nick Scott:
LiST</t>
        </r>
      </text>
    </comment>
    <comment ref="C46" authorId="0" shapeId="0" xr:uid="{00000000-0006-0000-0000-000015000000}">
      <text>
        <r>
          <rPr>
            <sz val="10"/>
            <color rgb="FF000000"/>
            <rFont val="Arial"/>
          </rPr>
          <t>Nick Scott:
LiST</t>
        </r>
      </text>
    </comment>
    <comment ref="C47" authorId="0" shapeId="0" xr:uid="{00000000-0006-0000-0000-000016000000}">
      <text>
        <r>
          <rPr>
            <sz val="10"/>
            <color rgb="FF000000"/>
            <rFont val="Arial"/>
          </rPr>
          <t>Nick Scott:
LiST</t>
        </r>
      </text>
    </comment>
    <comment ref="C51" authorId="0" shapeId="0" xr:uid="{00000000-0006-0000-0000-000017000000}">
      <text>
        <r>
          <rPr>
            <sz val="10"/>
            <color rgb="FF000000"/>
            <rFont val="Arial"/>
          </rPr>
          <t>Nick Scott:
LiST</t>
        </r>
      </text>
    </comment>
    <comment ref="C52" authorId="0" shapeId="0" xr:uid="{00000000-0006-0000-0000-000018000000}">
      <text>
        <r>
          <rPr>
            <sz val="10"/>
            <color rgb="FF000000"/>
            <rFont val="Arial"/>
          </rPr>
          <t>Nick Scott:
LiST</t>
        </r>
      </text>
    </comment>
    <comment ref="C53" authorId="0" shapeId="0" xr:uid="{00000000-0006-0000-0000-000019000000}">
      <text>
        <r>
          <rPr>
            <sz val="10"/>
            <color rgb="FF000000"/>
            <rFont val="Arial"/>
          </rPr>
          <t>Nick Scott:
LiST</t>
        </r>
      </text>
    </comment>
    <comment ref="C54" authorId="0" shapeId="0" xr:uid="{00000000-0006-0000-0000-00001A000000}">
      <text>
        <r>
          <rPr>
            <sz val="10"/>
            <color rgb="FF000000"/>
            <rFont val="Arial"/>
          </rPr>
          <t>Nick Scott:
LiST</t>
        </r>
      </text>
    </comment>
    <comment ref="C55" authorId="0" shapeId="0" xr:uid="{00000000-0006-0000-0000-00001B000000}">
      <text>
        <r>
          <rPr>
            <sz val="10"/>
            <color rgb="FF000000"/>
            <rFont val="Arial"/>
          </rPr>
          <t>Nick Scott:
LiST</t>
        </r>
      </text>
    </comment>
    <comment ref="C58" authorId="0" shapeId="0" xr:uid="{00000000-0006-0000-0000-00001C000000}">
      <text>
        <r>
          <rPr>
            <sz val="10"/>
            <color rgb="FF000000"/>
            <rFont val="Arial"/>
          </rPr>
          <t>Nick Scott:
LiST</t>
        </r>
      </text>
    </comment>
    <comment ref="C59" authorId="0" shapeId="0" xr:uid="{00000000-0006-0000-0000-00001D000000}">
      <text>
        <r>
          <rPr>
            <sz val="10"/>
            <color rgb="FF000000"/>
            <rFont val="Arial"/>
          </rPr>
          <t>Nick Scott:
LiST</t>
        </r>
      </text>
    </comment>
    <comment ref="C60" authorId="0" shapeId="0" xr:uid="{00000000-0006-0000-0000-00001E000000}">
      <text>
        <r>
          <rPr>
            <sz val="10"/>
            <color rgb="FF000000"/>
            <rFont val="Arial"/>
          </rPr>
          <t>Nick Scott:
Global average</t>
        </r>
      </text>
    </comment>
    <comment ref="C61" authorId="0" shapeId="0" xr:uid="{00000000-0006-0000-0000-00001F000000}">
      <text>
        <r>
          <rPr>
            <sz val="10"/>
            <color rgb="FF000000"/>
            <rFont val="Arial"/>
          </rPr>
          <t>Nick Scott:
Global average</t>
        </r>
      </text>
    </comment>
    <comment ref="C62" authorId="0" shapeId="0" xr:uid="{00000000-0006-0000-0000-000020000000}">
      <text>
        <r>
          <rPr>
            <sz val="10"/>
            <color rgb="FF000000"/>
            <rFont val="Arial"/>
          </rPr>
          <t>Nick Scott:
World Bank Group: Development Indicators. Accessed 11 Sep 2019 from: https://databank.worldbank.org/source/world-development-indicators. 2019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3" authorId="0" shapeId="0" xr:uid="{00000000-0006-0000-1400-000001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4" authorId="0" shapeId="0" xr:uid="{00000000-0006-0000-1400-000002000000}">
      <text>
        <r>
          <rPr>
            <sz val="10"/>
            <color rgb="FF000000"/>
            <rFont val="Arial"/>
          </rPr>
          <t>Tharindu Wickramaarachchi:
Spectrum LiST baed on Kozuki et al, 2017</t>
        </r>
      </text>
    </comment>
    <comment ref="B18" authorId="0" shapeId="0" xr:uid="{00000000-0006-0000-1400-000003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B56" authorId="0" shapeId="0" xr:uid="{00000000-0006-0000-1500-000001000000}">
      <text>
        <r>
          <rPr>
            <sz val="10"/>
            <color rgb="FF000000"/>
            <rFont val="Arial"/>
          </rPr>
          <t>Tharindu Wickramaarachchi:
LiST 6.29
Katz J, Lee AC, Kozuki N, et al. Mortality risk in preterm and small-for-gestational-age infants in low-income and middle-income countries: A pooled country analysis. Lancet 2013; 382(9890): 417–25</t>
        </r>
      </text>
    </comment>
    <comment ref="B65" authorId="0" shapeId="0" xr:uid="{00000000-0006-0000-1500-000002000000}">
      <text>
        <r>
          <rPr>
            <sz val="10"/>
            <color rgb="FF000000"/>
            <rFont val="Arial"/>
          </rPr>
          <t xml:space="preserve">Tharindu Wickramaarachchi:
LiST 6.29
Black RE, Victora CG, Walker SP, et al. Maternal and child undernutrition and overweight in low-income and middle-income countries. Lancet 2013; 382(9890): 427-51. http://www.ncbi.nlm.nih.gov/pubmed/23746772. (Supplementary material - Web Table 17.)
</t>
        </r>
      </text>
    </comment>
    <comment ref="C104" authorId="0" shapeId="0" xr:uid="{00000000-0006-0000-1500-000003000000}">
      <text>
        <r>
          <rPr>
            <sz val="10"/>
            <color rgb="FF000000"/>
            <rFont val="Arial"/>
          </rPr>
          <t>Tharindu Wickramaarachchi:
Spectrum LiST 6.29</t>
        </r>
      </text>
    </comment>
    <comment ref="A220" authorId="0" shapeId="0" xr:uid="{00000000-0006-0000-1500-000004000000}">
      <text>
        <r>
          <rPr>
            <sz val="10"/>
            <color rgb="FF000000"/>
            <rFont val="Arial"/>
          </rPr>
          <t>Tharindu Wickramaarachchi:
All the values should be greater than 1 and above the point estimate</t>
        </r>
      </text>
    </comment>
  </commentList>
</comments>
</file>

<file path=xl/comments1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  <author>Tharindu Wickramaarachchi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6" authorId="1" shapeId="0" xr:uid="{00000000-0006-0000-1600-000002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6" authorId="1" shapeId="0" xr:uid="{00000000-0006-0000-1600-000003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7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7" authorId="1" shapeId="0" xr:uid="{00000000-0006-0000-1600-000005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F7" authorId="1" shapeId="0" xr:uid="{00000000-0006-0000-1600-000006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E8" authorId="1" shapeId="0" xr:uid="{00000000-0006-0000-1600-000007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F8" authorId="1" shapeId="0" xr:uid="{00000000-0006-0000-1600-000008000000}">
      <text>
        <r>
          <rPr>
            <sz val="10"/>
            <color rgb="FF000000"/>
            <rFont val="Arial"/>
          </rPr>
          <t xml:space="preserve">Tharindu Wickramaarachchi:
Dewey et al 2021, stunting, PR 0.88 (0.85-0.91)  </t>
        </r>
      </text>
    </comment>
    <comment ref="C12" authorId="1" shapeId="0" xr:uid="{00000000-0006-0000-1600-000009000000}">
      <text>
        <r>
          <rPr>
            <sz val="10"/>
            <color rgb="FF000000"/>
            <rFont val="Arial"/>
          </rPr>
          <t>Tharindu Wickramaarachchi:
OR = 1.50 (1.26-1.78) for exclusive breastfeeding in children &lt; 1 month.</t>
        </r>
      </text>
    </comment>
    <comment ref="D12" authorId="1" shapeId="0" xr:uid="{00000000-0006-0000-1600-00000A000000}">
      <text>
        <r>
          <rPr>
            <sz val="10"/>
            <color rgb="FF000000"/>
            <rFont val="Arial"/>
          </rPr>
          <t>Tharindu Wickramaarachchi:
OR = 1.39 (1.11-1.74) for exclusive breastfeeding in children 1-6 months [Boundy et al. 2016, Pediatrics[66]]</t>
        </r>
      </text>
    </comment>
    <comment ref="A28" authorId="1" shapeId="0" xr:uid="{00000000-0006-0000-1600-00000B000000}">
      <text>
        <r>
          <rPr>
            <sz val="10"/>
            <color rgb="FF000000"/>
            <rFont val="Arial"/>
          </rPr>
          <t>Tharindu Wickramaarachchi:
Lower boundary means less effective compared with point estimate. Therefore, these ORs&lt;1 should be increased.</t>
        </r>
      </text>
    </comment>
    <comment ref="B29" authorId="0" shapeId="0" xr:uid="{00000000-0006-0000-1600-00000C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29" authorId="1" shapeId="0" xr:uid="{00000000-0006-0000-1600-00000D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29" authorId="1" shapeId="0" xr:uid="{00000000-0006-0000-1600-00000E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30" authorId="0" shapeId="0" xr:uid="{00000000-0006-0000-1600-00000F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30" authorId="1" shapeId="0" xr:uid="{00000000-0006-0000-1600-000010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31" authorId="1" shapeId="0" xr:uid="{00000000-0006-0000-1600-000011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A34" authorId="1" shapeId="0" xr:uid="{00000000-0006-0000-1600-000012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37" authorId="1" shapeId="0" xr:uid="{00000000-0006-0000-1600-000013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B44" authorId="1" shapeId="0" xr:uid="{00000000-0006-0000-1600-000014000000}">
      <text>
        <r>
          <rPr>
            <sz val="10"/>
            <color rgb="FF000000"/>
            <rFont val="Arial"/>
          </rPr>
          <t>Tharindu Wickramaarachchi:
&gt;1 but &lt; point estimate</t>
        </r>
      </text>
    </comment>
    <comment ref="A51" authorId="1" shapeId="0" xr:uid="{00000000-0006-0000-1600-000015000000}">
      <text>
        <r>
          <rPr>
            <sz val="10"/>
            <color rgb="FF000000"/>
            <rFont val="Arial"/>
          </rPr>
          <t>Tharindu Wickramaarachchi:
ORs which point estimate = 1 should stay the same, ORs with point estimate &lt;1 should be decreased as we expect higher impact</t>
        </r>
      </text>
    </comment>
    <comment ref="B52" authorId="0" shapeId="0" xr:uid="{00000000-0006-0000-1600-000016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E52" authorId="1" shapeId="0" xr:uid="{00000000-0006-0000-1600-000017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F52" authorId="1" shapeId="0" xr:uid="{00000000-0006-0000-1600-000018000000}">
      <text>
        <r>
          <rPr>
            <sz val="10"/>
            <color rgb="FF000000"/>
            <rFont val="Arial"/>
          </rPr>
          <t>Tharindu Wickramaarachchi:
Lassi et al 2020, RR 0.64 (0.44-0.92) 
RR converted to OR</t>
        </r>
      </text>
    </comment>
    <comment ref="B53" authorId="0" shapeId="0" xr:uid="{00000000-0006-0000-1600-000019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E53" authorId="1" shapeId="0" xr:uid="{00000000-0006-0000-1600-00001A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  <comment ref="E54" authorId="1" shapeId="0" xr:uid="{00000000-0006-0000-1600-00001B000000}">
      <text>
        <r>
          <rPr>
            <sz val="10"/>
            <color rgb="FF000000"/>
            <rFont val="Arial"/>
          </rPr>
          <t>Tharindu Wickramaarachchi:
Dewey et al 2021, stunting, PR 0.88 (0.85-0.91)  
Converted to OR is prev. data inputs are available else RR</t>
        </r>
      </text>
    </comment>
  </commentList>
</comments>
</file>

<file path=xl/comments1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A2" authorId="0" shapeId="0" xr:uid="{00000000-0006-0000-1700-000001000000}">
      <text>
        <r>
          <rPr>
            <sz val="10"/>
            <color rgb="FF000000"/>
            <rFont val="Arial"/>
          </rPr>
          <t>Tharindu Wickramaarachchi:
1-RRR</t>
        </r>
      </text>
    </comment>
    <comment ref="C2" authorId="0" shapeId="0" xr:uid="{00000000-0006-0000-1700-000002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D2" authorId="0" shapeId="0" xr:uid="{00000000-0006-0000-1700-000003000000}">
      <text>
        <r>
          <rPr>
            <sz val="10"/>
            <color rgb="FF000000"/>
            <rFont val="Arial"/>
          </rPr>
          <t>Tharindu Wickramaarachchi:
Lassi et al 2021, RR 0.71 (0.54-0.94)
So RRR=1-0.71=0.79</t>
        </r>
      </text>
    </comment>
    <comment ref="C4" authorId="0" shapeId="0" xr:uid="{00000000-0006-0000-1700-000004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4" authorId="0" shapeId="0" xr:uid="{00000000-0006-0000-1700-000005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C6" authorId="0" shapeId="0" xr:uid="{00000000-0006-0000-1700-000006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D6" authorId="0" shapeId="0" xr:uid="{00000000-0006-0000-1700-000007000000}">
      <text>
        <r>
          <rPr>
            <sz val="10"/>
            <color rgb="FF000000"/>
            <rFont val="Arial"/>
          </rPr>
          <t>Tharindu Wickramaarachchi:
Hansen et al, 2023, RR 0.39 (0.17-0.86)</t>
        </r>
      </text>
    </comment>
    <comment ref="A8" authorId="0" shapeId="0" xr:uid="{00000000-0006-0000-1700-000008000000}">
      <text>
        <r>
          <rPr>
            <sz val="10"/>
            <color rgb="FF000000"/>
            <rFont val="Arial"/>
          </rPr>
          <t>Tharindu Wickramaarachchi:
1-RRR</t>
        </r>
      </text>
    </comment>
    <comment ref="C8" authorId="0" shapeId="0" xr:uid="{00000000-0006-0000-1700-000009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D8" authorId="0" shapeId="0" xr:uid="{00000000-0006-0000-1700-00000A000000}">
      <text>
        <r>
          <rPr>
            <sz val="10"/>
            <color rgb="FF000000"/>
            <rFont val="Arial"/>
          </rPr>
          <t>Tharindu Wickramaarachchi:
RRR = 0.65 (0.55-0.77) for SGA birth outcomes [Eisele et al. 2010, I J Epi [78]]
1-RRR was used</t>
        </r>
      </text>
    </comment>
    <comment ref="A10" authorId="0" shapeId="0" xr:uid="{00000000-0006-0000-1700-00000B000000}">
      <text>
        <r>
          <rPr>
            <sz val="10"/>
            <color rgb="FF000000"/>
            <rFont val="Arial"/>
          </rPr>
          <t>Tharindu Wickramaarachchi:
1-RRR</t>
        </r>
      </text>
    </comment>
    <comment ref="C10" authorId="0" shapeId="0" xr:uid="{00000000-0006-0000-1700-00000C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D10" authorId="0" shapeId="0" xr:uid="{00000000-0006-0000-1700-00000D000000}">
      <text>
        <r>
          <rPr>
            <sz val="10"/>
            <color rgb="FF000000"/>
            <rFont val="Arial"/>
          </rPr>
          <t>Tharindu Wickramaarachchi:
RRR = 0.65 (0.55-0.77) for SGA birth outcomes [Eisele et al. 2010, Int J Epi [78]] 
1-RRR was used</t>
        </r>
      </text>
    </comment>
    <comment ref="C12" authorId="0" shapeId="0" xr:uid="{00000000-0006-0000-1700-00000E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12" authorId="0" shapeId="0" xr:uid="{00000000-0006-0000-1700-00000F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27" authorId="0" shapeId="0" xr:uid="{00000000-0006-0000-1700-000010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27" authorId="0" shapeId="0" xr:uid="{00000000-0006-0000-1700-000011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C42" authorId="0" shapeId="0" xr:uid="{00000000-0006-0000-1700-000012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  <comment ref="D42" authorId="0" shapeId="0" xr:uid="{00000000-0006-0000-1700-000013000000}">
      <text>
        <r>
          <rPr>
            <sz val="10"/>
            <color rgb="FF000000"/>
            <rFont val="Arial"/>
          </rPr>
          <t xml:space="preserve">Tharindu Wickramaarachchi:
 Oh et al 2020, RR 0.93 (0.88-0.98) for MMS vs I/IFA
</t>
        </r>
      </text>
    </comment>
  </commentList>
</comments>
</file>

<file path=xl/comments1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C3" authorId="0" shapeId="0" xr:uid="{00000000-0006-0000-1800-000001000000}">
      <text>
        <r>
          <rPr>
            <sz val="10"/>
            <color rgb="FF000000"/>
            <rFont val="Arial"/>
          </rPr>
          <t>Tharindu Wickramaarachchi:
RR from the lterature was used.
RRR = 0.53 (0.40-0.70) for being anaemic [Hutton and Hassan, 2007 Jama [63]]</t>
        </r>
      </text>
    </comment>
    <comment ref="H4" authorId="0" shapeId="0" xr:uid="{00000000-0006-0000-1800-000002000000}">
      <text>
        <r>
          <rPr>
            <sz val="10"/>
            <color rgb="FF000000"/>
            <rFont val="Arial"/>
          </rPr>
          <t xml:space="preserve">Tharindu Wickramaarachchi:
RRR = 0.73 (0.56-0.95) for anaemia in non-pregnant women [Fernandez-Gaxiola &amp; De-Regil 2011, Cochrane Database Syst Rev [76]]
</t>
        </r>
      </text>
    </comment>
    <comment ref="H5" authorId="0" shapeId="0" xr:uid="{00000000-0006-0000-1800-000003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6" authorId="0" shapeId="0" xr:uid="{00000000-0006-0000-1800-000004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H7" authorId="0" shapeId="0" xr:uid="{00000000-0006-0000-1800-000005000000}">
      <text>
        <r>
          <rPr>
            <sz val="10"/>
            <color rgb="FF000000"/>
            <rFont val="Arial"/>
          </rPr>
          <t>Tharindu Wickramaarachchi:
RRR = 0.73 (0.56-0.95) for anaemia in non-pregnant women [Fernandez-Gaxiola &amp; De-Regil 2011, Cochrane Database Syst Rev [76]]</t>
        </r>
      </text>
    </comment>
    <comment ref="L8" authorId="0" shapeId="0" xr:uid="{00000000-0006-0000-1800-000006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8" authorId="0" shapeId="0" xr:uid="{00000000-0006-0000-1800-000007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8" authorId="0" shapeId="0" xr:uid="{00000000-0006-0000-1800-000008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8" authorId="0" shapeId="0" xr:uid="{00000000-0006-0000-1800-000009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9" authorId="0" shapeId="0" xr:uid="{00000000-0006-0000-1800-00000A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M9" authorId="0" shapeId="0" xr:uid="{00000000-0006-0000-1800-00000B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N9" authorId="0" shapeId="0" xr:uid="{00000000-0006-0000-1800-00000C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O9" authorId="0" shapeId="0" xr:uid="{00000000-0006-0000-1800-00000D000000}">
      <text>
        <r>
          <rPr>
            <sz val="10"/>
            <color rgb="FF000000"/>
            <rFont val="Arial"/>
          </rPr>
          <t>Tharindu Wickramaarachchi:
The model takes in RRR = 1-RR = 1-0.51=0.49
Hansen et al, 2023, RR 0.51 (0.38-0.70 )</t>
        </r>
      </text>
    </comment>
    <comment ref="L10" authorId="0" shapeId="0" xr:uid="{00000000-0006-0000-1800-00000E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M10" authorId="0" shapeId="0" xr:uid="{00000000-0006-0000-1800-00000F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N10" authorId="0" shapeId="0" xr:uid="{00000000-0006-0000-1800-000010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O10" authorId="0" shapeId="0" xr:uid="{00000000-0006-0000-1800-000011000000}">
      <text>
        <r>
          <rPr>
            <sz val="10"/>
            <color rgb="FF000000"/>
            <rFont val="Arial"/>
          </rPr>
          <t>Tharindu Wickramaarachchi:
RRR = 0.83 (0.74-0.93) for being anaemic [Radeva‐Petrova et al. 2014, The Cochrane Library [77]]
RRR was used</t>
        </r>
      </text>
    </comment>
    <comment ref="C12" authorId="0" shapeId="0" xr:uid="{00000000-0006-0000-1800-000012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D12" authorId="0" shapeId="0" xr:uid="{00000000-0006-0000-1800-000013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2" authorId="0" shapeId="0" xr:uid="{00000000-0006-0000-1800-000014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F12" authorId="0" shapeId="0" xr:uid="{00000000-0006-0000-1800-000015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G12" authorId="0" shapeId="0" xr:uid="{00000000-0006-0000-1800-000016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H12" authorId="0" shapeId="0" xr:uid="{00000000-0006-0000-1800-000017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I12" authorId="0" shapeId="0" xr:uid="{00000000-0006-0000-1800-000018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J12" authorId="0" shapeId="0" xr:uid="{00000000-0006-0000-1800-000019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K12" authorId="0" shapeId="0" xr:uid="{00000000-0006-0000-1800-00001A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L12" authorId="0" shapeId="0" xr:uid="{00000000-0006-0000-1800-00001B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M12" authorId="0" shapeId="0" xr:uid="{00000000-0006-0000-1800-00001C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N12" authorId="0" shapeId="0" xr:uid="{00000000-0006-0000-1800-00001D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O12" authorId="0" shapeId="0" xr:uid="{00000000-0006-0000-1800-00001E000000}">
      <text>
        <r>
          <rPr>
            <sz val="10"/>
            <color rgb="FF000000"/>
            <rFont val="Arial"/>
          </rPr>
          <t>Tharindu Wickramaarachchi:
RRR = 0.83 (0.74-0.93) for anaemia [Radeva‐Petrova et al. 2014, The Cochrane Library [77]]
RRR was used</t>
        </r>
      </text>
    </comment>
    <comment ref="E13" authorId="0" shapeId="0" xr:uid="{00000000-0006-0000-1800-00001F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F13" authorId="0" shapeId="0" xr:uid="{00000000-0006-0000-1800-000020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G13" authorId="0" shapeId="0" xr:uid="{00000000-0006-0000-1800-000021000000}">
      <text>
        <r>
          <rPr>
            <sz val="10"/>
            <color rgb="FF000000"/>
            <rFont val="Arial"/>
          </rPr>
          <t xml:space="preserve">Tharindu Wickramaarachchi:
Moorthy et al 2020, RR 0.69 (0.62-0.77) </t>
        </r>
      </text>
    </comment>
    <comment ref="E14" authorId="0" shapeId="0" xr:uid="{00000000-0006-0000-1800-000022000000}">
      <text>
        <r>
          <rPr>
            <sz val="10"/>
            <color rgb="FF000000"/>
            <rFont val="Arial"/>
          </rPr>
          <t>Tharindu Wickramaarachchi:
RR not statistically significant</t>
        </r>
      </text>
    </comment>
    <comment ref="E15" authorId="0" shapeId="0" xr:uid="{00000000-0006-0000-1800-000023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F15" authorId="0" shapeId="0" xr:uid="{00000000-0006-0000-1800-000024000000}">
      <text>
        <r>
          <rPr>
            <sz val="10"/>
            <color rgb="FF000000"/>
            <rFont val="Arial"/>
          </rPr>
          <t>Tharindu Wickramaarachchi:
Wessells et al 2022, anemia (Hb &lt; 110 g/L), PR 0.84 (0.81-0.87) </t>
        </r>
      </text>
    </comment>
    <comment ref="E18" authorId="0" shapeId="0" xr:uid="{00000000-0006-0000-1800-000025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19" authorId="0" shapeId="0" xr:uid="{00000000-0006-0000-1800-000026000000}">
      <text>
        <r>
          <rPr>
            <sz val="10"/>
            <color rgb="FF000000"/>
            <rFont val="Arial"/>
          </rPr>
          <t>Tharindu Wickramaarachchi:
Peña‐Rosas et al 2019, anemia RR 0.72 (0.54-0.97)
If no data for anaemia prev. the use RR otherwise convert RR to OR using prev.</t>
        </r>
      </text>
    </comment>
    <comment ref="E20" authorId="0" shapeId="0" xr:uid="{00000000-0006-0000-1800-000027000000}">
      <text>
        <r>
          <rPr>
            <sz val="10"/>
            <color rgb="FF000000"/>
            <rFont val="Arial"/>
          </rPr>
          <t>Tharindu Wickramaarachchi:
Insufficient published research on the intervention’s effect on the outcome.</t>
        </r>
      </text>
    </comment>
    <comment ref="E21" authorId="0" shapeId="0" xr:uid="{00000000-0006-0000-1800-000028000000}">
      <text>
        <r>
          <rPr>
            <sz val="10"/>
            <color rgb="FF000000"/>
            <rFont val="Arial"/>
          </rPr>
          <t>Tharindu Wickramaarachchi:
Larson et al 2021, RR 0.80 (0.70-0.92)
If no data for anaemia prev. the use RR otherwise convert RR to OR using prev.</t>
        </r>
      </text>
    </comment>
    <comment ref="A25" authorId="0" shapeId="0" xr:uid="{00000000-0006-0000-1800-000029000000}">
      <text>
        <r>
          <rPr>
            <sz val="10"/>
            <color rgb="FF000000"/>
            <rFont val="Arial"/>
          </rPr>
          <t>Tharindu Wickramaarachchi:
RRR should be lower so the values should be greater than point estimate (for less reduction of anaemia)</t>
        </r>
      </text>
    </comment>
  </commentList>
</comments>
</file>

<file path=xl/comments1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900-000001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3" authorId="0" shapeId="0" xr:uid="{00000000-0006-0000-1900-000002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3" authorId="0" shapeId="0" xr:uid="{00000000-0006-0000-1900-000003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3" authorId="0" shapeId="0" xr:uid="{00000000-0006-0000-1900-000004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D5" authorId="0" shapeId="0" xr:uid="{00000000-0006-0000-1900-000005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E5" authorId="0" shapeId="0" xr:uid="{00000000-0006-0000-1900-000006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F5" authorId="0" shapeId="0" xr:uid="{00000000-0006-0000-1900-000007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  <comment ref="G5" authorId="0" shapeId="0" xr:uid="{00000000-0006-0000-1900-000008000000}">
      <text>
        <r>
          <rPr>
            <sz val="10"/>
            <color rgb="FF000000"/>
            <rFont val="Arial"/>
          </rPr>
          <t xml:space="preserve">Tharindu Wickramaarachchi:
Schoonees et al 2019, recovery, RR 1.33 (1.16-1.54  )
T recovery/C recovery = 1.33 =40%/30%
T cndition developed/C condition developed = 60%/70%=0.86
So, 0.86 is the RR of wasting developed
This is converted to OR based on SAM and MAM prev. </t>
        </r>
      </text>
    </comment>
  </commentList>
</comments>
</file>

<file path=xl/comments1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F3" authorId="0" shapeId="0" xr:uid="{00000000-0006-0000-1A00-00000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3" authorId="0" shapeId="0" xr:uid="{00000000-0006-0000-1A00-00000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3" authorId="0" shapeId="0" xr:uid="{00000000-0006-0000-1A00-00000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4" authorId="0" shapeId="0" xr:uid="{00000000-0006-0000-1A00-00000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4" authorId="0" shapeId="0" xr:uid="{00000000-0006-0000-1A00-00000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4" authorId="0" shapeId="0" xr:uid="{00000000-0006-0000-1A00-00000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" authorId="1" shapeId="0" xr:uid="{00000000-0006-0000-1A00-000007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6" authorId="1" shapeId="0" xr:uid="{00000000-0006-0000-1A00-000008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8" authorId="1" shapeId="0" xr:uid="{00000000-0006-0000-1A00-000009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G8" authorId="1" shapeId="0" xr:uid="{00000000-0006-0000-1A00-00000A000000}">
      <text>
        <r>
          <rPr>
            <sz val="10"/>
            <color rgb="FF000000"/>
            <rFont val="Arial"/>
          </rPr>
          <t>Nick Scott:
No statistically significant effect Lassi et al 2020, RR 0.87 (0.74-1.01)</t>
        </r>
      </text>
    </comment>
    <comment ref="F10" authorId="1" shapeId="0" xr:uid="{00000000-0006-0000-1A00-00000B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0" authorId="1" shapeId="0" xr:uid="{00000000-0006-0000-1A00-00000C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2" authorId="1" shapeId="0" xr:uid="{00000000-0006-0000-1A00-00000D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G12" authorId="1" shapeId="0" xr:uid="{00000000-0006-0000-1A00-00000E000000}">
      <text>
        <r>
          <rPr>
            <sz val="10"/>
            <color rgb="FF000000"/>
            <rFont val="Arial"/>
          </rPr>
          <t>Nick Scott:
Same as PPCF; no statistically significant effect; Lassi et al 2020, RR 0.87 (0.74-1.01)</t>
        </r>
      </text>
    </comment>
    <comment ref="F14" authorId="0" shapeId="0" xr:uid="{00000000-0006-0000-1A00-00000F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G14" authorId="0" shapeId="0" xr:uid="{00000000-0006-0000-1A00-000010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16" authorId="0" shapeId="0" xr:uid="{00000000-0006-0000-1A00-000011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G16" authorId="0" shapeId="0" xr:uid="{00000000-0006-0000-1A00-000012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8" authorId="0" shapeId="0" xr:uid="{00000000-0006-0000-1A00-000013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G18" authorId="0" shapeId="0" xr:uid="{00000000-0006-0000-1A00-000014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H18" authorId="0" shapeId="0" xr:uid="{00000000-0006-0000-1A00-000015000000}">
      <text>
        <r>
          <rPr>
            <sz val="10"/>
            <color rgb="FF000000"/>
            <rFont val="Arial"/>
          </rPr>
          <t>Tharindu Wickramaarachchi:
RRR = 0.32 (0.16-0.61) for SAM incidence 
Langendorf et al. 2014</t>
        </r>
      </text>
    </comment>
    <comment ref="F20" authorId="0" shapeId="0" xr:uid="{00000000-0006-0000-1A00-000016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G20" authorId="0" shapeId="0" xr:uid="{00000000-0006-0000-1A00-000017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H20" authorId="0" shapeId="0" xr:uid="{00000000-0006-0000-1A00-000018000000}">
      <text>
        <r>
          <rPr>
            <sz val="10"/>
            <color rgb="FF000000"/>
            <rFont val="Arial"/>
          </rPr>
          <t xml:space="preserve">Tharindu Wickramaarachchi:
RRR = 0.40 (0.23-0.68) for MAM incidence Langendorf et al. 2014, PLoS Med </t>
        </r>
      </text>
    </comment>
    <comment ref="D22" authorId="0" shapeId="0" xr:uid="{00000000-0006-0000-1A00-000019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4" authorId="0" shapeId="0" xr:uid="{00000000-0006-0000-1A00-00001A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26" authorId="0" shapeId="0" xr:uid="{00000000-0006-0000-1A00-00001B000000}">
      <text>
        <r>
          <rPr>
            <sz val="10"/>
            <color rgb="FF000000"/>
            <rFont val="Arial"/>
          </rPr>
          <t>Tharindu Wickramaarachchi:
RRR = 0.87 (0.84-0.89) of neonatal mortality [prevention of neural tube defects Blencowe et al. 2010, I J Epidemiology [81]]
1-RRR was used</t>
        </r>
      </text>
    </comment>
    <comment ref="D43" authorId="0" shapeId="0" xr:uid="{00000000-0006-0000-1A00-00001C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E43" authorId="0" shapeId="0" xr:uid="{00000000-0006-0000-1A00-00001D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F43" authorId="0" shapeId="0" xr:uid="{00000000-0006-0000-1A00-00001E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G43" authorId="0" shapeId="0" xr:uid="{00000000-0006-0000-1A00-00001F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H43" authorId="0" shapeId="0" xr:uid="{00000000-0006-0000-1A00-000020000000}">
      <text>
        <r>
          <rPr>
            <sz val="10"/>
            <color rgb="FF000000"/>
            <rFont val="Arial"/>
          </rPr>
          <t>Tharindu Wickramaarachchi:
Imdad et al 2023, RR 0.95 (0.69-1.31) </t>
        </r>
      </text>
    </comment>
    <comment ref="D44" authorId="0" shapeId="0" xr:uid="{00000000-0006-0000-1A00-000021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E44" authorId="0" shapeId="0" xr:uid="{00000000-0006-0000-1A00-000022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F44" authorId="0" shapeId="0" xr:uid="{00000000-0006-0000-1A00-000023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G44" authorId="0" shapeId="0" xr:uid="{00000000-0006-0000-1A00-000024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H44" authorId="0" shapeId="0" xr:uid="{00000000-0006-0000-1A00-000025000000}">
      <text>
        <r>
          <rPr>
            <sz val="10"/>
            <color rgb="FF000000"/>
            <rFont val="Arial"/>
          </rPr>
          <t>Tharindu Wickramaarachchi:
Imdad et al 2023, RR 0.91 (0.90-0.93) </t>
        </r>
      </text>
    </comment>
    <comment ref="D47" authorId="0" shapeId="0" xr:uid="{00000000-0006-0000-1A00-000026000000}">
      <text>
        <r>
          <rPr>
            <sz val="10"/>
            <color rgb="FF000000"/>
            <rFont val="Arial"/>
          </rPr>
          <t>Tharindu Wickramaarachchi:
Zero infact as identified no significant effect
Imdad et al 2023, RR 1.01 (95% CI 0.95 to 1.08)</t>
        </r>
      </text>
    </comment>
    <comment ref="D49" authorId="0" shapeId="0" xr:uid="{00000000-0006-0000-1A00-000027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E49" authorId="0" shapeId="0" xr:uid="{00000000-0006-0000-1A00-000028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F49" authorId="0" shapeId="0" xr:uid="{00000000-0006-0000-1A00-000029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G49" authorId="0" shapeId="0" xr:uid="{00000000-0006-0000-1A00-00002A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H49" authorId="0" shapeId="0" xr:uid="{00000000-0006-0000-1A00-00002B000000}">
      <text>
        <r>
          <rPr>
            <sz val="10"/>
            <color rgb="FF000000"/>
            <rFont val="Arial"/>
          </rPr>
          <t>Tharindu Wickramaarachchi:
RRR = 0.31 (0.20-0.49) for ORS [Munos, et al. 2010, I J Epi]
Total effect = affected fraction * effectiveness
1-RRR was used for the model</t>
        </r>
      </text>
    </comment>
    <comment ref="D51" authorId="0" shapeId="0" xr:uid="{00000000-0006-0000-1A00-00002C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E51" authorId="0" shapeId="0" xr:uid="{00000000-0006-0000-1A00-00002D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1" authorId="0" shapeId="0" xr:uid="{00000000-0006-0000-1A00-00002E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G51" authorId="0" shapeId="0" xr:uid="{00000000-0006-0000-1A00-00002F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H51" authorId="0" shapeId="0" xr:uid="{00000000-0006-0000-1A00-000030000000}">
      <text>
        <r>
          <rPr>
            <sz val="10"/>
            <color rgb="FF000000"/>
            <rFont val="Arial"/>
          </rPr>
          <t>Tharindu Wickramaarachchi:
RRR = 0.24 (0.15-0.38) for diarrhoea mortality
1-RRR was used for the total effect</t>
        </r>
      </text>
    </comment>
    <comment ref="F58" authorId="0" shapeId="0" xr:uid="{00000000-0006-0000-1A00-000031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G58" authorId="0" shapeId="0" xr:uid="{00000000-0006-0000-1A00-000032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H58" authorId="0" shapeId="0" xr:uid="{00000000-0006-0000-1A00-000033000000}">
      <text>
        <r>
          <rPr>
            <sz val="10"/>
            <color rgb="FF000000"/>
            <rFont val="Arial"/>
          </rPr>
          <t>Tharindu Wickramaarachchi:
Imdad et al 2022, RR 0.88 (0.79-0.98) </t>
        </r>
      </text>
    </comment>
    <comment ref="F59" authorId="0" shapeId="0" xr:uid="{00000000-0006-0000-1A00-000034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G59" authorId="0" shapeId="0" xr:uid="{00000000-0006-0000-1A00-000035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H59" authorId="0" shapeId="0" xr:uid="{00000000-0006-0000-1A00-000036000000}">
      <text>
        <r>
          <rPr>
            <sz val="10"/>
            <color rgb="FF000000"/>
            <rFont val="Arial"/>
          </rPr>
          <t>Tharindu Wickramaarachchi:
Imdad et al 2022, RR 0.85 (0.82-0.87) </t>
        </r>
      </text>
    </comment>
    <comment ref="F69" authorId="0" shapeId="0" xr:uid="{00000000-0006-0000-1A00-000037000000}">
      <text>
        <r>
          <rPr>
            <sz val="10"/>
            <color rgb="FF000000"/>
            <rFont val="Arial"/>
          </rPr>
          <t xml:space="preserve">Tharindu Wickramaarachchi:
Dewey et al 2022, severe wasting, PR 0.69 (0.55-0.86) </t>
        </r>
      </text>
    </comment>
    <comment ref="F71" authorId="0" shapeId="0" xr:uid="{00000000-0006-0000-1A00-000038000000}">
      <text>
        <r>
          <rPr>
            <sz val="10"/>
            <color rgb="FF000000"/>
            <rFont val="Arial"/>
          </rPr>
          <t xml:space="preserve">Tharindu Wickramaarachchi:
Dewey et al 2021, wasting, PR 0.86 (0.80-0.93) </t>
        </r>
      </text>
    </comment>
    <comment ref="F113" authorId="0" shapeId="0" xr:uid="{00000000-0006-0000-1A00-000039000000}">
      <text>
        <r>
          <rPr>
            <sz val="10"/>
            <color rgb="FF000000"/>
            <rFont val="Arial"/>
          </rPr>
          <t>Tharindu Wickramaarachchi:
Using CI</t>
        </r>
      </text>
    </comment>
    <comment ref="F114" authorId="0" shapeId="0" xr:uid="{00000000-0006-0000-1A00-00003A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4" authorId="0" shapeId="0" xr:uid="{00000000-0006-0000-1A00-00003B000000}">
      <text>
        <r>
          <rPr>
            <sz val="10"/>
            <color rgb="FF000000"/>
            <rFont val="Arial"/>
          </rPr>
          <t>Tharindu Wickramaarachchi:
Using CI</t>
        </r>
      </text>
    </comment>
    <comment ref="F126" authorId="0" shapeId="0" xr:uid="{00000000-0006-0000-1A00-00003C000000}">
      <text>
        <r>
          <rPr>
            <sz val="10"/>
            <color rgb="FF000000"/>
            <rFont val="Arial"/>
          </rPr>
          <t>Tharindu Wickramaarachchi:
Using CI</t>
        </r>
      </text>
    </comment>
  </commentList>
</comments>
</file>

<file path=xl/comments1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</authors>
  <commentList>
    <comment ref="D3" authorId="0" shapeId="0" xr:uid="{00000000-0006-0000-1B00-000001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E3" authorId="0" shapeId="0" xr:uid="{00000000-0006-0000-1B00-000002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F3" authorId="0" shapeId="0" xr:uid="{00000000-0006-0000-1B00-000003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G3" authorId="0" shapeId="0" xr:uid="{00000000-0006-0000-1B00-000004000000}">
      <text>
        <r>
          <rPr>
            <sz val="10"/>
            <color rgb="FF000000"/>
            <rFont val="Arial"/>
          </rPr>
          <t>Tharindu Wickramaarachchi:
Hofmeyr et al 2018, RR 0.17 (0.02-1.39)
RRR=1-1*0.17=0.83</t>
        </r>
      </text>
    </comment>
    <comment ref="D5" authorId="0" shapeId="0" xr:uid="{00000000-0006-0000-1B00-000005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5" authorId="0" shapeId="0" xr:uid="{00000000-0006-0000-1B00-000006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5" authorId="0" shapeId="0" xr:uid="{00000000-0006-0000-1B00-000007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5" authorId="0" shapeId="0" xr:uid="{00000000-0006-0000-1B00-000008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D7" authorId="0" shapeId="0" xr:uid="{00000000-0006-0000-1B00-000009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E7" authorId="0" shapeId="0" xr:uid="{00000000-0006-0000-1B00-00000A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F7" authorId="0" shapeId="0" xr:uid="{00000000-0006-0000-1B00-00000B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  <comment ref="G7" authorId="0" shapeId="0" xr:uid="{00000000-0006-0000-1B00-00000C000000}">
      <text>
        <r>
          <rPr>
            <sz val="10"/>
            <color rgb="FF000000"/>
            <rFont val="Arial"/>
          </rPr>
          <t>Tharindu Wickramaarachchi:
RRR = 0.41 for mortlaity from hypertensive disorders [Ronsmans et al. 2011, BMC Public Health] 
1-RRR was used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100-000001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C2" authorId="0" shapeId="0" xr:uid="{00000000-0006-0000-0100-000002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D2" authorId="0" shapeId="0" xr:uid="{00000000-0006-0000-0100-000003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E2" authorId="0" shapeId="0" xr:uid="{00000000-0006-0000-0100-000004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  <comment ref="F2" authorId="0" shapeId="0" xr:uid="{00000000-0006-0000-0100-000005000000}">
      <text>
        <r>
          <rPr>
            <sz val="10"/>
            <color rgb="FF000000"/>
            <rFont val="Arial"/>
          </rPr>
          <t>Nick Scott:
World Bank Group: Population Estimates and Projections. Accessed 11 Sep 2019 from: https://datacatalog.worldbank.org/dataset/population-estimates-and-projections.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3" authorId="0" shapeId="0" xr:uid="{00000000-0006-0000-0200-000001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200-000002000000}">
      <text>
        <r>
          <rPr>
            <sz val="10"/>
            <color rgb="FF000000"/>
            <rFont val="Arial"/>
          </rPr>
          <t>Nick Scott:
LiST</t>
        </r>
      </text>
    </comment>
    <comment ref="D14" authorId="0" shapeId="0" xr:uid="{00000000-0006-0000-0200-000003000000}">
      <text>
        <r>
          <rPr>
            <sz val="10"/>
            <color rgb="FF000000"/>
            <rFont val="Arial"/>
          </rPr>
          <t>Nick Scott:
LiST</t>
        </r>
      </text>
    </comment>
    <comment ref="E14" authorId="0" shapeId="0" xr:uid="{00000000-0006-0000-0200-000004000000}">
      <text>
        <r>
          <rPr>
            <sz val="10"/>
            <color rgb="FF000000"/>
            <rFont val="Arial"/>
          </rPr>
          <t>Nick Scott:
LiST</t>
        </r>
      </text>
    </comment>
    <comment ref="F14" authorId="0" shapeId="0" xr:uid="{00000000-0006-0000-0200-000005000000}">
      <text>
        <r>
          <rPr>
            <sz val="10"/>
            <color rgb="FF000000"/>
            <rFont val="Arial"/>
          </rPr>
          <t>Nick Scott:
LiST</t>
        </r>
      </text>
    </comment>
    <comment ref="C26" authorId="0" shapeId="0" xr:uid="{00000000-0006-0000-0200-000006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C4" authorId="0" shapeId="0" xr:uid="{00000000-0006-0000-0300-000001000000}">
      <text>
        <r>
          <rPr>
            <sz val="10"/>
            <color rgb="FF000000"/>
            <rFont val="Arial"/>
          </rPr>
          <t>Nick Scott:
LiST</t>
        </r>
      </text>
    </comment>
    <comment ref="C5" authorId="0" shapeId="0" xr:uid="{00000000-0006-0000-0300-000002000000}">
      <text>
        <r>
          <rPr>
            <sz val="10"/>
            <color rgb="FF000000"/>
            <rFont val="Arial"/>
          </rPr>
          <t>Nick Scott:
LiST</t>
        </r>
      </text>
    </comment>
    <comment ref="C14" authorId="0" shapeId="0" xr:uid="{00000000-0006-0000-0300-000003000000}">
      <text>
        <r>
          <rPr>
            <sz val="10"/>
            <color rgb="FF000000"/>
            <rFont val="Arial"/>
          </rPr>
          <t>Nick Scott:
Placeholder</t>
        </r>
      </text>
    </comment>
    <comment ref="H14" authorId="0" shapeId="0" xr:uid="{00000000-0006-0000-0300-000004000000}">
      <text>
        <r>
          <rPr>
            <sz val="10"/>
            <color rgb="FF000000"/>
            <rFont val="Arial"/>
          </rPr>
          <t>Nick Scott:
LiST</t>
        </r>
      </text>
    </comment>
    <comment ref="L14" authorId="0" shapeId="0" xr:uid="{00000000-0006-0000-0300-000005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2" authorId="0" shapeId="0" xr:uid="{00000000-0006-0000-0600-000001000000}">
      <text>
        <r>
          <rPr>
            <sz val="10"/>
            <color rgb="FF000000"/>
            <rFont val="Arial"/>
          </rPr>
          <t>Nick Scott:
Placeholder only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B2" authorId="0" shapeId="0" xr:uid="{00000000-0006-0000-0900-000002000000}">
      <text>
        <r>
          <rPr>
            <sz val="10"/>
            <color rgb="FF000000"/>
            <rFont val="Arial"/>
          </rPr>
          <t>Nick Scott:
LiST</t>
        </r>
      </text>
    </comment>
    <comment ref="D2" authorId="0" shapeId="0" xr:uid="{00000000-0006-0000-0900-000003000000}">
      <text>
        <r>
          <rPr>
            <sz val="10"/>
            <color rgb="FF000000"/>
            <rFont val="Arial"/>
          </rPr>
          <t>Nick Scott:
All unit cost estimates are placeholders, derived from Scott et al. BMC medicine, 18(1), 1-19.
If unknown, set to 99 .</t>
        </r>
      </text>
    </comment>
    <comment ref="B3" authorId="0" shapeId="0" xr:uid="{00000000-0006-0000-0900-000004000000}">
      <text>
        <r>
          <rPr>
            <sz val="10"/>
            <color rgb="FF000000"/>
            <rFont val="Arial"/>
          </rPr>
          <t>Nick Scott:
LiST</t>
        </r>
      </text>
    </comment>
    <comment ref="B4" authorId="0" shapeId="0" xr:uid="{00000000-0006-0000-0900-000005000000}">
      <text>
        <r>
          <rPr>
            <sz val="10"/>
            <color rgb="FF000000"/>
            <rFont val="Arial"/>
          </rPr>
          <t>Nick Scott:
Missing</t>
        </r>
      </text>
    </comment>
    <comment ref="B5" authorId="0" shapeId="0" xr:uid="{00000000-0006-0000-0900-000006000000}">
      <text>
        <r>
          <rPr>
            <sz val="10"/>
            <color rgb="FF000000"/>
            <rFont val="Arial"/>
          </rPr>
          <t>Nick Scott:
Missing</t>
        </r>
      </text>
    </comment>
    <comment ref="B6" authorId="0" shapeId="0" xr:uid="{00000000-0006-0000-0900-000007000000}">
      <text>
        <r>
          <rPr>
            <sz val="10"/>
            <color rgb="FF000000"/>
            <rFont val="Arial"/>
          </rPr>
          <t>Nick Scott:
Missing</t>
        </r>
      </text>
    </comment>
    <comment ref="B7" authorId="0" shapeId="0" xr:uid="{00000000-0006-0000-0900-000008000000}">
      <text>
        <r>
          <rPr>
            <sz val="10"/>
            <color rgb="FF000000"/>
            <rFont val="Arial"/>
          </rPr>
          <t>Nick Scott:
Missing</t>
        </r>
      </text>
    </comment>
    <comment ref="B8" authorId="0" shapeId="0" xr:uid="{00000000-0006-0000-0900-000009000000}">
      <text>
        <r>
          <rPr>
            <sz val="10"/>
            <color rgb="FF000000"/>
            <rFont val="Arial"/>
          </rPr>
          <t>Nick Scott:
Missing</t>
        </r>
      </text>
    </comment>
    <comment ref="B9" authorId="0" shapeId="0" xr:uid="{00000000-0006-0000-0900-00000A000000}">
      <text>
        <r>
          <rPr>
            <sz val="10"/>
            <color rgb="FF000000"/>
            <rFont val="Arial"/>
          </rPr>
          <t>Nick Scott:
Missing</t>
        </r>
      </text>
    </comment>
    <comment ref="B10" authorId="0" shapeId="0" xr:uid="{00000000-0006-0000-0900-00000B000000}">
      <text>
        <r>
          <rPr>
            <sz val="10"/>
            <color rgb="FF000000"/>
            <rFont val="Arial"/>
          </rPr>
          <t>Nick Scott:
LiST</t>
        </r>
      </text>
    </comment>
    <comment ref="B11" authorId="0" shapeId="0" xr:uid="{00000000-0006-0000-0900-00000C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2" authorId="0" shapeId="0" xr:uid="{00000000-0006-0000-0900-00000D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3" authorId="0" shapeId="0" xr:uid="{00000000-0006-0000-0900-00000E000000}">
      <text>
        <r>
          <rPr>
            <sz val="10"/>
            <color rgb="FF000000"/>
            <rFont val="Arial"/>
          </rPr>
          <t>Nick Scott:
More data required to divide "IFAS (community)" further. Community intervention assumed to represent all modalities as a placeholder</t>
        </r>
      </text>
    </comment>
    <comment ref="B14" authorId="0" shapeId="0" xr:uid="{00000000-0006-0000-0900-00000F000000}">
      <text>
        <r>
          <rPr>
            <sz val="10"/>
            <color rgb="FF000000"/>
            <rFont val="Arial"/>
          </rPr>
          <t>Nick Scott:
LiST</t>
        </r>
      </text>
    </comment>
    <comment ref="B15" authorId="0" shapeId="0" xr:uid="{00000000-0006-0000-0900-000010000000}">
      <text>
        <r>
          <rPr>
            <sz val="10"/>
            <color rgb="FF000000"/>
            <rFont val="Arial"/>
          </rPr>
          <t>Nick Scott:
More data required to divide "IFAS for pregnant women (community)" further. Community intervention assumed to represent all modalities as a placeholder</t>
        </r>
      </text>
    </comment>
    <comment ref="B16" authorId="0" shapeId="0" xr:uid="{00000000-0006-0000-0900-000011000000}">
      <text>
        <r>
          <rPr>
            <sz val="10"/>
            <color rgb="FF000000"/>
            <rFont val="Arial"/>
          </rPr>
          <t>Nick Scott:
LiST</t>
        </r>
      </text>
    </comment>
    <comment ref="B17" authorId="0" shapeId="0" xr:uid="{00000000-0006-0000-0900-000012000000}">
      <text>
        <r>
          <rPr>
            <sz val="10"/>
            <color rgb="FF000000"/>
            <rFont val="Arial"/>
          </rPr>
          <t>Nick Scott:
LiST, "Iron fortification"</t>
        </r>
      </text>
    </comment>
    <comment ref="B18" authorId="0" shapeId="0" xr:uid="{00000000-0006-0000-0900-000013000000}">
      <text>
        <r>
          <rPr>
            <sz val="10"/>
            <color rgb="FF000000"/>
            <rFont val="Arial"/>
          </rPr>
          <t>Nick Scott:
LiST; breastfeeding promotion</t>
        </r>
      </text>
    </comment>
    <comment ref="B19" authorId="0" shapeId="0" xr:uid="{00000000-0006-0000-0900-000014000000}">
      <text>
        <r>
          <rPr>
            <sz val="10"/>
            <color rgb="FF000000"/>
            <rFont val="Arial"/>
          </rPr>
          <t>Nick Scott:
LiST; complementary feeding education</t>
        </r>
      </text>
    </comment>
    <comment ref="B20" authorId="0" shapeId="0" xr:uid="{00000000-0006-0000-0900-000015000000}">
      <text>
        <r>
          <rPr>
            <sz val="10"/>
            <color rgb="FF000000"/>
            <rFont val="Arial"/>
          </rPr>
          <t>Nick Scott:
Not being used</t>
        </r>
      </text>
    </comment>
    <comment ref="B21" authorId="0" shapeId="0" xr:uid="{00000000-0006-0000-0900-000016000000}">
      <text>
        <r>
          <rPr>
            <sz val="10"/>
            <color rgb="FF000000"/>
            <rFont val="Arial"/>
          </rPr>
          <t>Nick Scott:
LiST</t>
        </r>
      </text>
    </comment>
    <comment ref="B22" authorId="0" shapeId="0" xr:uid="{00000000-0006-0000-0900-000017000000}">
      <text>
        <r>
          <rPr>
            <sz val="10"/>
            <color rgb="FF000000"/>
            <rFont val="Arial"/>
          </rPr>
          <t>Nick Scott:
Missing</t>
        </r>
      </text>
    </comment>
    <comment ref="B24" authorId="0" shapeId="0" xr:uid="{00000000-0006-0000-0900-000018000000}">
      <text>
        <r>
          <rPr>
            <sz val="10"/>
            <color rgb="FF000000"/>
            <rFont val="Arial"/>
          </rPr>
          <t>Nick Scott:
LiST</t>
        </r>
      </text>
    </comment>
    <comment ref="B25" authorId="0" shapeId="0" xr:uid="{00000000-0006-0000-0900-000019000000}">
      <text>
        <r>
          <rPr>
            <sz val="10"/>
            <color rgb="FF000000"/>
            <rFont val="Arial"/>
          </rPr>
          <t>Nick Scott:
Not being used</t>
        </r>
      </text>
    </comment>
    <comment ref="B26" authorId="0" shapeId="0" xr:uid="{00000000-0006-0000-0900-00001A000000}">
      <text>
        <r>
          <rPr>
            <sz val="10"/>
            <color rgb="FF000000"/>
            <rFont val="Arial"/>
          </rPr>
          <t>Nick Scott:
LiST</t>
        </r>
      </text>
    </comment>
    <comment ref="B27" authorId="0" shapeId="0" xr:uid="{00000000-0006-0000-0900-00001B000000}">
      <text>
        <r>
          <rPr>
            <sz val="10"/>
            <color rgb="FF000000"/>
            <rFont val="Arial"/>
          </rPr>
          <t>Nick Scott:
LiST</t>
        </r>
      </text>
    </comment>
    <comment ref="B28" authorId="0" shapeId="0" xr:uid="{00000000-0006-0000-0900-00001C000000}">
      <text>
        <r>
          <rPr>
            <sz val="10"/>
            <color rgb="FF000000"/>
            <rFont val="Arial"/>
          </rPr>
          <t>Nick Scott:
LiST</t>
        </r>
      </text>
    </comment>
    <comment ref="D28" authorId="0" shapeId="0" xr:uid="{00000000-0006-0000-0900-00001D000000}">
      <text>
        <r>
          <rPr>
            <sz val="10"/>
            <color rgb="FF000000"/>
            <rFont val="Arial"/>
          </rPr>
          <t>Nick Scott:
Cost per treatment</t>
        </r>
      </text>
    </comment>
    <comment ref="B29" authorId="0" shapeId="0" xr:uid="{00000000-0006-0000-0900-00001E000000}">
      <text>
        <r>
          <rPr>
            <sz val="10"/>
            <color rgb="FF000000"/>
            <rFont val="Arial"/>
          </rPr>
          <t>Nick Scott:
LiST</t>
        </r>
      </text>
    </comment>
    <comment ref="B30" authorId="0" shapeId="0" xr:uid="{00000000-0006-0000-0900-00001F000000}">
      <text>
        <r>
          <rPr>
            <sz val="10"/>
            <color rgb="FF000000"/>
            <rFont val="Arial"/>
          </rPr>
          <t>Nick Scott:
Missing</t>
        </r>
      </text>
    </comment>
    <comment ref="D30" authorId="0" shapeId="0" xr:uid="{00000000-0006-0000-0900-000020000000}">
      <text>
        <r>
          <rPr>
            <sz val="10"/>
            <color rgb="FF000000"/>
            <rFont val="Arial"/>
          </rPr>
          <t>Nick Scott:
Unknown</t>
        </r>
      </text>
    </comment>
    <comment ref="B31" authorId="0" shapeId="0" xr:uid="{00000000-0006-0000-0900-000021000000}">
      <text>
        <r>
          <rPr>
            <sz val="10"/>
            <color rgb="FF000000"/>
            <rFont val="Arial"/>
          </rPr>
          <t>Nick Scott:
LiST</t>
        </r>
      </text>
    </comment>
    <comment ref="D31" authorId="0" shapeId="0" xr:uid="{00000000-0006-0000-0900-000022000000}">
      <text>
        <r>
          <rPr>
            <sz val="10"/>
            <color rgb="FF000000"/>
            <rFont val="Arial"/>
          </rPr>
          <t>Nick Scott:
Cost per treatment</t>
        </r>
      </text>
    </comment>
    <comment ref="B32" authorId="0" shapeId="0" xr:uid="{00000000-0006-0000-0900-000023000000}">
      <text>
        <r>
          <rPr>
            <sz val="10"/>
            <color rgb="FF000000"/>
            <rFont val="Arial"/>
          </rPr>
          <t>Nick Scott:
LiST</t>
        </r>
      </text>
    </comment>
    <comment ref="B33" authorId="0" shapeId="0" xr:uid="{00000000-0006-0000-0900-000024000000}">
      <text>
        <r>
          <rPr>
            <sz val="10"/>
            <color rgb="FF000000"/>
            <rFont val="Arial"/>
          </rPr>
          <t>Nick Scott:
LiST</t>
        </r>
      </text>
    </comment>
    <comment ref="D33" authorId="0" shapeId="0" xr:uid="{00000000-0006-0000-0900-000025000000}">
      <text>
        <r>
          <rPr>
            <sz val="10"/>
            <color rgb="FF000000"/>
            <rFont val="Arial"/>
          </rPr>
          <t>Nick Scott:
Unknown</t>
        </r>
      </text>
    </comment>
    <comment ref="B34" authorId="0" shapeId="0" xr:uid="{00000000-0006-0000-0900-000026000000}">
      <text>
        <r>
          <rPr>
            <sz val="10"/>
            <color rgb="FF000000"/>
            <rFont val="Arial"/>
          </rPr>
          <t>Nick Scott:
LiST</t>
        </r>
      </text>
    </comment>
    <comment ref="D34" authorId="0" shapeId="0" xr:uid="{00000000-0006-0000-0900-000027000000}">
      <text>
        <r>
          <rPr>
            <sz val="10"/>
            <color rgb="FF000000"/>
            <rFont val="Arial"/>
          </rPr>
          <t>Nick Scott:
Unknown</t>
        </r>
      </text>
    </comment>
    <comment ref="B35" authorId="0" shapeId="0" xr:uid="{00000000-0006-0000-0900-000028000000}">
      <text>
        <r>
          <rPr>
            <sz val="10"/>
            <color rgb="FF000000"/>
            <rFont val="Arial"/>
          </rPr>
          <t>Nick Scott:
Not being used</t>
        </r>
      </text>
    </comment>
    <comment ref="D35" authorId="0" shapeId="0" xr:uid="{00000000-0006-0000-0900-000029000000}">
      <text>
        <r>
          <rPr>
            <sz val="10"/>
            <color rgb="FF000000"/>
            <rFont val="Arial"/>
          </rPr>
          <t>Nick Scott:
Unknown</t>
        </r>
      </text>
    </comment>
    <comment ref="B36" authorId="0" shapeId="0" xr:uid="{00000000-0006-0000-0900-00002A000000}">
      <text>
        <r>
          <rPr>
            <sz val="10"/>
            <color rgb="FF000000"/>
            <rFont val="Arial"/>
          </rPr>
          <t>Nick Scott:
LiST</t>
        </r>
      </text>
    </comment>
    <comment ref="D36" authorId="0" shapeId="0" xr:uid="{00000000-0006-0000-0900-00002B000000}">
      <text>
        <r>
          <rPr>
            <sz val="10"/>
            <color rgb="FF000000"/>
            <rFont val="Arial"/>
          </rPr>
          <t>Nick Scott:
Unknown</t>
        </r>
      </text>
    </comment>
    <comment ref="B37" authorId="0" shapeId="0" xr:uid="{00000000-0006-0000-0900-00002C000000}">
      <text>
        <r>
          <rPr>
            <sz val="10"/>
            <color rgb="FF000000"/>
            <rFont val="Arial"/>
          </rPr>
          <t>Nick Scott:
LiST</t>
        </r>
      </text>
    </comment>
    <comment ref="D37" authorId="0" shapeId="0" xr:uid="{00000000-0006-0000-0900-00002D000000}">
      <text>
        <r>
          <rPr>
            <sz val="10"/>
            <color rgb="FF000000"/>
            <rFont val="Arial"/>
          </rPr>
          <t>Nick Scott:
Unknown</t>
        </r>
      </text>
    </comment>
    <comment ref="B38" authorId="0" shapeId="0" xr:uid="{00000000-0006-0000-0900-00002E000000}">
      <text>
        <r>
          <rPr>
            <sz val="10"/>
            <color rgb="FF000000"/>
            <rFont val="Arial"/>
          </rPr>
          <t>Nick Scott:
LiST</t>
        </r>
      </text>
    </comment>
    <comment ref="D38" authorId="0" shapeId="0" xr:uid="{00000000-0006-0000-0900-00002F000000}">
      <text>
        <r>
          <rPr>
            <sz val="10"/>
            <color rgb="FF000000"/>
            <rFont val="Arial"/>
          </rPr>
          <t>Nick Scott:
Cost per treatment</t>
        </r>
      </text>
    </comment>
    <comment ref="B39" authorId="0" shapeId="0" xr:uid="{00000000-0006-0000-0900-000030000000}">
      <text>
        <r>
          <rPr>
            <sz val="10"/>
            <color rgb="FF000000"/>
            <rFont val="Arial"/>
          </rPr>
          <t>Nick Scott:
LiST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Tharindu Wickramaarachchi</author>
    <author>Nick Scott</author>
  </authors>
  <commentList>
    <comment ref="D5" authorId="0" shapeId="0" xr:uid="{00000000-0006-0000-1300-000001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6" authorId="0" shapeId="0" xr:uid="{00000000-0006-0000-1300-000002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8" authorId="0" shapeId="0" xr:uid="{00000000-0006-0000-1300-000003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9" authorId="0" shapeId="0" xr:uid="{00000000-0006-0000-1300-000004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" authorId="0" shapeId="0" xr:uid="{00000000-0006-0000-1300-000005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12" authorId="0" shapeId="0" xr:uid="{00000000-0006-0000-1300-000006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4" authorId="0" shapeId="0" xr:uid="{00000000-0006-0000-1300-000007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G15" authorId="0" shapeId="0" xr:uid="{00000000-0006-0000-1300-000008000000}">
      <text>
        <r>
          <rPr>
            <sz val="10"/>
            <color rgb="FF000000"/>
            <rFont val="Arial"/>
          </rPr>
          <t>Tharindu Wickramaarachchi:
Mahumud et al 2022, EBF OR 1.73 (1.35-2.11</t>
        </r>
      </text>
    </comment>
    <comment ref="F28" authorId="0" shapeId="0" xr:uid="{00000000-0006-0000-1300-000009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F29" authorId="0" shapeId="0" xr:uid="{00000000-0006-0000-1300-00000A000000}">
      <text>
        <r>
          <rPr>
            <sz val="10"/>
            <color rgb="FF000000"/>
            <rFont val="Arial"/>
          </rPr>
          <t>Tharindu Wickramaarachchi:
OR = 0.77 for stunting; [Panjwani et al. 2017 J Nutr [65] food secure population with nutrition education or counselling compared to receiving no intervention]
OR was used</t>
        </r>
      </text>
    </comment>
    <comment ref="A36" authorId="1" shapeId="0" xr:uid="{00000000-0006-0000-1300-00000B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58" authorId="0" shapeId="0" xr:uid="{00000000-0006-0000-1300-00000C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59" authorId="0" shapeId="0" xr:uid="{00000000-0006-0000-1300-00000D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1" authorId="0" shapeId="0" xr:uid="{00000000-0006-0000-1300-00000E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62" authorId="0" shapeId="0" xr:uid="{00000000-0006-0000-1300-00000F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64" authorId="0" shapeId="0" xr:uid="{00000000-0006-0000-1300-000010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65" authorId="0" shapeId="0" xr:uid="{00000000-0006-0000-1300-000011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7" authorId="0" shapeId="0" xr:uid="{00000000-0006-0000-1300-000012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68" authorId="0" shapeId="0" xr:uid="{00000000-0006-0000-1300-000013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89" authorId="1" shapeId="0" xr:uid="{00000000-0006-0000-1300-000014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D111" authorId="0" shapeId="0" xr:uid="{00000000-0006-0000-1300-000015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D112" authorId="0" shapeId="0" xr:uid="{00000000-0006-0000-1300-000016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4" authorId="0" shapeId="0" xr:uid="{00000000-0006-0000-1300-000017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E115" authorId="0" shapeId="0" xr:uid="{00000000-0006-0000-1300-000018000000}">
      <text>
        <r>
          <rPr>
            <sz val="10"/>
            <color rgb="FF000000"/>
            <rFont val="Arial"/>
          </rPr>
          <t>Tharindu Wickramaarachchi:
RR converted to an OR using BF prev.
Lassi et al 2019, EIBF RR 1.56 (1.37-1.77)</t>
        </r>
      </text>
    </comment>
    <comment ref="F117" authorId="0" shapeId="0" xr:uid="{00000000-0006-0000-1300-000019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F118" authorId="0" shapeId="0" xr:uid="{00000000-0006-0000-1300-00001A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0" authorId="0" shapeId="0" xr:uid="{00000000-0006-0000-1300-00001B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G121" authorId="0" shapeId="0" xr:uid="{00000000-0006-0000-1300-00001C000000}">
      <text>
        <r>
          <rPr>
            <sz val="10"/>
            <color rgb="FF000000"/>
            <rFont val="Arial"/>
          </rPr>
          <t xml:space="preserve">Tharindu Wickramaarachchi:
Mahumud et al 2022, EBF OR 1.73 (1.35-2.11) </t>
        </r>
      </text>
    </comment>
    <comment ref="A125" authorId="0" shapeId="0" xr:uid="{00000000-0006-0000-1300-00001D000000}">
      <text>
        <r>
          <rPr>
            <sz val="10"/>
            <color rgb="FF000000"/>
            <rFont val="Arial"/>
          </rPr>
          <t>Tharindu Wickramaarachchi:
Upper boundary for the impact means that the point estimate of the OR should be lower</t>
        </r>
      </text>
    </comment>
    <comment ref="A142" authorId="1" shapeId="0" xr:uid="{00000000-0006-0000-1300-00001E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<sst xmlns="http://schemas.openxmlformats.org/spreadsheetml/2006/main" count="2092" uniqueCount="341">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</sst>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  <numFmt numFmtId="168" formatCode="#,##0.0"/>
  </numFmts>
  <fonts count="19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  <font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5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3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10" fontId="0" fillId="0" borderId="0" xfId="0" applyNumberFormat="1"/>
    <xf numFmtId="0" fontId="9" fillId="0" borderId="0" xfId="0" applyFont="1" applyAlignment="1">
      <alignment horizontal="center"/>
    </xf>
    <xf numFmtId="0" fontId="4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4" fillId="0" borderId="0" xfId="0" applyFont="1" applyAlignment="1">
      <alignment horizontal="right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1" fillId="0" borderId="0" xfId="0" applyFont="1"/>
    <xf numFmtId="166" fontId="14" fillId="3" borderId="4" xfId="0" applyNumberFormat="1" applyFont="1" applyFill="1" applyBorder="1"/>
    <xf numFmtId="0" fontId="15" fillId="0" borderId="0" xfId="0" applyFont="1"/>
    <xf numFmtId="0" fontId="7" fillId="0" borderId="2" xfId="0" applyFont="1" applyBorder="1"/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2" fontId="4" fillId="0" borderId="0" xfId="0" applyNumberFormat="1" applyFont="1"/>
    <xf numFmtId="0" fontId="7" fillId="0" borderId="0" xfId="0" applyFont="1" applyAlignment="1">
      <alignment horizontal="center" vertical="center"/>
    </xf>
    <xf numFmtId="0" fontId="7" fillId="4" borderId="0" xfId="0" applyFont="1" applyFill="1"/>
    <xf numFmtId="0" fontId="7" fillId="5" borderId="0" xfId="0" applyFont="1" applyFill="1"/>
    <xf numFmtId="0" fontId="4" fillId="5" borderId="0" xfId="0" applyFont="1" applyFill="1"/>
    <xf numFmtId="0" fontId="7" fillId="0" borderId="0" xfId="0" applyFont="1" applyAlignment="1">
      <alignment wrapText="1"/>
    </xf>
    <xf numFmtId="0" fontId="7" fillId="0" borderId="0" xfId="0" applyFont="1" applyAlignment="1">
      <alignment horizontal="right" wrapText="1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1" fontId="4" fillId="5" borderId="0" xfId="0" applyNumberFormat="1" applyFont="1" applyFill="1"/>
    <xf numFmtId="2" fontId="4" fillId="5" borderId="0" xfId="0" applyNumberFormat="1" applyFont="1" applyFill="1"/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15" fillId="0" borderId="0" xfId="0" applyFont="1" applyAlignment="1">
      <alignment horizontal="right" wrapText="1"/>
    </xf>
    <xf numFmtId="1" fontId="15" fillId="0" borderId="0" xfId="0" applyNumberFormat="1" applyFont="1"/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 vertical="center"/>
      <protection locked="0"/>
    </xf>
    <xf numFmtId="168" fontId="4" fillId="2" borderId="1" xfId="0" applyNumberFormat="1" applyFont="1" applyFill="1" applyBorder="1" applyProtection="1">
      <protection locked="0"/>
    </xf>
    <xf numFmtId="166" fontId="3" fillId="2" borderId="1" xfId="0" applyNumberFormat="1" applyFont="1" applyFill="1" applyBorder="1" applyAlignment="1" applyProtection="1">
      <alignment horizontal="right"/>
      <protection locked="0"/>
    </xf>
    <xf numFmtId="0" fontId="18" fillId="0" borderId="0" xfId="0" applyFont="1" applyAlignment="1">
      <alignment horizontal="right" wrapText="1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C59" sqref="C59"/>
    </sheetView>
  </sheetViews>
  <sheetFormatPr defaultColWidth="14.453125" defaultRowHeight="15.75" customHeight="1" x14ac:dyDescent="0.25"/>
  <cols>
    <col min="1" max="1" width="27.6328125" style="8" customWidth="1"/>
    <col min="2" max="2" width="38.6328125" style="11" customWidth="1"/>
    <col min="3" max="3" width="14.453125" style="8" customWidth="1"/>
    <col min="4" max="16384" width="14.453125" style="8"/>
  </cols>
  <sheetData>
    <row r="1" spans="1:3" ht="15.9" customHeight="1" x14ac:dyDescent="0.3">
      <c r="A1" s="1" t="s">
        <v>0</v>
      </c>
      <c r="B1" s="29" t="s">
        <v>1</v>
      </c>
      <c r="C1" s="29" t="s">
        <v>2</v>
      </c>
    </row>
    <row r="2" spans="1:3" ht="15.9" customHeight="1" x14ac:dyDescent="0.3">
      <c r="A2" s="8" t="s">
        <v>3</v>
      </c>
      <c r="B2" s="29"/>
      <c r="C2" s="29"/>
    </row>
    <row r="3" spans="1:3" ht="15.9" customHeight="1" x14ac:dyDescent="0.3">
      <c r="A3" s="1"/>
      <c r="B3" s="5" t="s">
        <v>4</v>
      </c>
      <c r="C3" s="41">
        <v>2021</v>
      </c>
    </row>
    <row r="4" spans="1:3" ht="15.9" customHeight="1" x14ac:dyDescent="0.3">
      <c r="A4" s="1"/>
      <c r="B4" s="5" t="s">
        <v>5</v>
      </c>
      <c r="C4" s="42">
        <v>2030</v>
      </c>
    </row>
    <row r="5" spans="1:3" ht="15.9" customHeight="1" x14ac:dyDescent="0.3">
      <c r="A5" s="1"/>
      <c r="B5" s="29"/>
      <c r="C5" s="29"/>
    </row>
    <row r="6" spans="1:3" ht="15" customHeight="1" x14ac:dyDescent="0.25">
      <c r="A6" s="8" t="s">
        <v>6</v>
      </c>
    </row>
    <row r="7" spans="1:3" ht="15" customHeight="1" x14ac:dyDescent="0.25">
      <c r="B7" s="11" t="s">
        <v>7</v>
      </c>
      <c r="C7" s="43">
        <v>683822.72265625</v>
      </c>
    </row>
    <row r="8" spans="1:3" ht="15" customHeight="1" x14ac:dyDescent="0.25">
      <c r="B8" s="5" t="s">
        <v>8</v>
      </c>
      <c r="C8" s="44">
        <v>0</v>
      </c>
    </row>
    <row r="9" spans="1:3" ht="15" customHeight="1" x14ac:dyDescent="0.25">
      <c r="B9" s="5" t="s">
        <v>9</v>
      </c>
      <c r="C9" s="45">
        <v>0.01</v>
      </c>
    </row>
    <row r="10" spans="1:3" ht="15" customHeight="1" x14ac:dyDescent="0.25">
      <c r="B10" s="5" t="s">
        <v>10</v>
      </c>
      <c r="C10" s="45">
        <v>0.91188728330000002</v>
      </c>
    </row>
    <row r="11" spans="1:3" ht="15" customHeight="1" x14ac:dyDescent="0.25">
      <c r="B11" s="5" t="s">
        <v>11</v>
      </c>
      <c r="C11" s="45">
        <v>0.66099999999999992</v>
      </c>
    </row>
    <row r="12" spans="1:3" ht="15" customHeight="1" x14ac:dyDescent="0.25">
      <c r="B12" s="5" t="s">
        <v>12</v>
      </c>
      <c r="C12" s="45">
        <v>0.32500000000000001</v>
      </c>
    </row>
    <row r="13" spans="1:3" ht="15" customHeight="1" x14ac:dyDescent="0.25">
      <c r="B13" s="5" t="s">
        <v>13</v>
      </c>
      <c r="C13" s="45">
        <v>0.249</v>
      </c>
    </row>
    <row r="14" spans="1:3" ht="15" customHeight="1" x14ac:dyDescent="0.25">
      <c r="B14" s="8"/>
    </row>
    <row r="15" spans="1:3" ht="15" customHeight="1" x14ac:dyDescent="0.3">
      <c r="A15" s="8" t="s">
        <v>14</v>
      </c>
      <c r="B15" s="14"/>
      <c r="C15" s="3"/>
    </row>
    <row r="16" spans="1:3" ht="15" customHeight="1" x14ac:dyDescent="0.25">
      <c r="B16" s="5" t="s">
        <v>15</v>
      </c>
      <c r="C16" s="45">
        <v>0.1</v>
      </c>
    </row>
    <row r="17" spans="1:3" ht="15" customHeight="1" x14ac:dyDescent="0.25">
      <c r="B17" s="5" t="s">
        <v>16</v>
      </c>
      <c r="C17" s="45">
        <v>0.7</v>
      </c>
    </row>
    <row r="18" spans="1:3" ht="15" customHeight="1" x14ac:dyDescent="0.25">
      <c r="B18" s="5" t="s">
        <v>17</v>
      </c>
      <c r="C18" s="45">
        <v>0.05</v>
      </c>
    </row>
    <row r="19" spans="1:3" ht="15" customHeight="1" x14ac:dyDescent="0.25">
      <c r="B19" s="5" t="s">
        <v>18</v>
      </c>
      <c r="C19" s="45">
        <v>0.05</v>
      </c>
    </row>
    <row r="20" spans="1:3" ht="15" customHeight="1" x14ac:dyDescent="0.25">
      <c r="B20" s="5" t="s">
        <v>19</v>
      </c>
      <c r="C20" s="46">
        <f>1-frac_rice-frac_wheat-frac_maize</f>
        <v>0.20000000000000007</v>
      </c>
    </row>
    <row r="21" spans="1:3" ht="15" customHeight="1" x14ac:dyDescent="0.25">
      <c r="B21" s="8"/>
    </row>
    <row r="22" spans="1:3" ht="15" customHeight="1" x14ac:dyDescent="0.25">
      <c r="A22" s="8" t="s">
        <v>20</v>
      </c>
    </row>
    <row r="23" spans="1:3" ht="15" customHeight="1" x14ac:dyDescent="0.25">
      <c r="B23" s="15" t="s">
        <v>21</v>
      </c>
      <c r="C23" s="45">
        <v>0.1489</v>
      </c>
    </row>
    <row r="24" spans="1:3" ht="15" customHeight="1" x14ac:dyDescent="0.25">
      <c r="B24" s="15" t="s">
        <v>22</v>
      </c>
      <c r="C24" s="45">
        <v>0.65529999999999999</v>
      </c>
    </row>
    <row r="25" spans="1:3" ht="15" customHeight="1" x14ac:dyDescent="0.25">
      <c r="B25" s="15" t="s">
        <v>23</v>
      </c>
      <c r="C25" s="45">
        <v>0.1857</v>
      </c>
    </row>
    <row r="26" spans="1:3" ht="15" customHeight="1" x14ac:dyDescent="0.25">
      <c r="B26" s="15" t="s">
        <v>24</v>
      </c>
      <c r="C26" s="45">
        <v>1.01E-2</v>
      </c>
    </row>
    <row r="27" spans="1:3" ht="15" customHeight="1" x14ac:dyDescent="0.25">
      <c r="B27" s="15"/>
      <c r="C27" s="15"/>
    </row>
    <row r="28" spans="1:3" ht="15" customHeight="1" x14ac:dyDescent="0.25">
      <c r="A28" s="8" t="s">
        <v>25</v>
      </c>
      <c r="B28" s="15"/>
      <c r="C28" s="15"/>
    </row>
    <row r="29" spans="1:3" ht="14.25" customHeight="1" x14ac:dyDescent="0.25">
      <c r="B29" s="25" t="s">
        <v>26</v>
      </c>
      <c r="C29" s="45">
        <v>0.43972863222198599</v>
      </c>
    </row>
    <row r="30" spans="1:3" ht="14.25" customHeight="1" x14ac:dyDescent="0.25">
      <c r="B30" s="25" t="s">
        <v>27</v>
      </c>
      <c r="C30" s="99">
        <v>0.101814244205091</v>
      </c>
    </row>
    <row r="31" spans="1:3" ht="14.25" customHeight="1" x14ac:dyDescent="0.25">
      <c r="B31" s="25" t="s">
        <v>28</v>
      </c>
      <c r="C31" s="99">
        <v>9.9255704254962801E-2</v>
      </c>
    </row>
    <row r="32" spans="1:3" ht="14.25" customHeight="1" x14ac:dyDescent="0.25">
      <c r="B32" s="25" t="s">
        <v>29</v>
      </c>
      <c r="C32" s="99">
        <v>0.35920141931796001</v>
      </c>
    </row>
    <row r="33" spans="1:5" ht="13" customHeight="1" x14ac:dyDescent="0.25">
      <c r="B33" s="27" t="s">
        <v>30</v>
      </c>
      <c r="C33" s="48">
        <f>SUM(C29:C32)</f>
        <v>0.99999999999999978</v>
      </c>
    </row>
    <row r="34" spans="1:5" ht="15" customHeight="1" x14ac:dyDescent="0.25"/>
    <row r="35" spans="1:5" ht="15" customHeight="1" x14ac:dyDescent="0.3">
      <c r="A35" s="4" t="s">
        <v>31</v>
      </c>
    </row>
    <row r="36" spans="1:5" ht="15" customHeight="1" x14ac:dyDescent="0.25">
      <c r="A36" s="8" t="s">
        <v>32</v>
      </c>
      <c r="B36" s="5"/>
    </row>
    <row r="37" spans="1:5" ht="15" customHeight="1" x14ac:dyDescent="0.25">
      <c r="B37" s="11" t="s">
        <v>33</v>
      </c>
      <c r="C37" s="43">
        <v>10.891816440132301</v>
      </c>
    </row>
    <row r="38" spans="1:5" ht="15" customHeight="1" x14ac:dyDescent="0.25">
      <c r="B38" s="11" t="s">
        <v>34</v>
      </c>
      <c r="C38" s="43">
        <v>18.237575383160301</v>
      </c>
      <c r="D38" s="12"/>
      <c r="E38" s="13"/>
    </row>
    <row r="39" spans="1:5" ht="15" customHeight="1" x14ac:dyDescent="0.25">
      <c r="B39" s="11" t="s">
        <v>35</v>
      </c>
      <c r="C39" s="43">
        <v>20.434556463374399</v>
      </c>
      <c r="D39" s="12"/>
      <c r="E39" s="12"/>
    </row>
    <row r="40" spans="1:5" ht="15" customHeight="1" x14ac:dyDescent="0.25">
      <c r="B40" s="11" t="s">
        <v>36</v>
      </c>
      <c r="C40" s="100">
        <v>0.26</v>
      </c>
    </row>
    <row r="41" spans="1:5" ht="15" customHeight="1" x14ac:dyDescent="0.25">
      <c r="B41" s="11" t="s">
        <v>37</v>
      </c>
      <c r="C41" s="45">
        <v>0.12</v>
      </c>
    </row>
    <row r="42" spans="1:5" ht="15" customHeight="1" x14ac:dyDescent="0.25">
      <c r="B42" s="11" t="s">
        <v>38</v>
      </c>
      <c r="C42" s="43">
        <v>8.9704989719999997</v>
      </c>
    </row>
    <row r="43" spans="1:5" ht="15.75" customHeight="1" x14ac:dyDescent="0.25">
      <c r="D43" s="12"/>
    </row>
    <row r="44" spans="1:5" ht="15.75" customHeight="1" x14ac:dyDescent="0.25">
      <c r="A44" s="8" t="s">
        <v>39</v>
      </c>
      <c r="D44" s="12"/>
    </row>
    <row r="45" spans="1:5" ht="15.75" customHeight="1" x14ac:dyDescent="0.25">
      <c r="B45" s="11" t="s">
        <v>40</v>
      </c>
      <c r="C45" s="45">
        <v>9.4067999999999999E-3</v>
      </c>
      <c r="D45" s="12"/>
    </row>
    <row r="46" spans="1:5" ht="15.75" customHeight="1" x14ac:dyDescent="0.25">
      <c r="B46" s="11" t="s">
        <v>41</v>
      </c>
      <c r="C46" s="45">
        <v>7.8700699999999998E-2</v>
      </c>
      <c r="D46" s="12"/>
    </row>
    <row r="47" spans="1:5" ht="15.75" customHeight="1" x14ac:dyDescent="0.25">
      <c r="B47" s="11" t="s">
        <v>42</v>
      </c>
      <c r="C47" s="45">
        <v>7.7909900000000004E-2</v>
      </c>
      <c r="D47" s="12"/>
      <c r="E47" s="13"/>
    </row>
    <row r="48" spans="1:5" ht="15" customHeight="1" x14ac:dyDescent="0.25">
      <c r="B48" s="11" t="s">
        <v>43</v>
      </c>
      <c r="C48" s="46">
        <v>0.83398259999999991</v>
      </c>
      <c r="D48" s="12"/>
      <c r="E48" s="12"/>
    </row>
    <row r="49" spans="1:4" ht="15.75" customHeight="1" x14ac:dyDescent="0.25">
      <c r="D49" s="12"/>
    </row>
    <row r="50" spans="1:4" ht="15.75" customHeight="1" x14ac:dyDescent="0.25">
      <c r="A50" s="8" t="s">
        <v>44</v>
      </c>
      <c r="D50" s="12"/>
    </row>
    <row r="51" spans="1:4" ht="15.75" customHeight="1" x14ac:dyDescent="0.25">
      <c r="B51" s="11" t="s">
        <v>45</v>
      </c>
      <c r="C51" s="100">
        <v>2.8</v>
      </c>
      <c r="D51" s="12"/>
    </row>
    <row r="52" spans="1:4" ht="15" customHeight="1" x14ac:dyDescent="0.25">
      <c r="B52" s="11" t="s">
        <v>46</v>
      </c>
      <c r="C52" s="100">
        <v>2.8</v>
      </c>
    </row>
    <row r="53" spans="1:4" ht="15.75" customHeight="1" x14ac:dyDescent="0.25">
      <c r="B53" s="11" t="s">
        <v>47</v>
      </c>
      <c r="C53" s="100">
        <v>2.8</v>
      </c>
    </row>
    <row r="54" spans="1:4" ht="15.75" customHeight="1" x14ac:dyDescent="0.25">
      <c r="B54" s="11" t="s">
        <v>48</v>
      </c>
      <c r="C54" s="100">
        <v>2.8</v>
      </c>
    </row>
    <row r="55" spans="1:4" ht="15.75" customHeight="1" x14ac:dyDescent="0.25">
      <c r="B55" s="11" t="s">
        <v>49</v>
      </c>
      <c r="C55" s="100">
        <v>2.8</v>
      </c>
    </row>
    <row r="57" spans="1:4" ht="15.75" customHeight="1" x14ac:dyDescent="0.25">
      <c r="A57" s="8" t="s">
        <v>50</v>
      </c>
    </row>
    <row r="58" spans="1:4" ht="15.75" customHeight="1" x14ac:dyDescent="0.25">
      <c r="B58" s="5" t="s">
        <v>51</v>
      </c>
      <c r="C58" s="45">
        <v>1.6428571428571431E-2</v>
      </c>
    </row>
    <row r="59" spans="1:4" ht="15.75" customHeight="1" x14ac:dyDescent="0.25">
      <c r="B59" s="11" t="s">
        <v>52</v>
      </c>
      <c r="C59" s="45">
        <v>0.57557999999999998</v>
      </c>
    </row>
    <row r="60" spans="1:4" ht="15.75" customHeight="1" x14ac:dyDescent="0.25">
      <c r="B60" s="11" t="s">
        <v>53</v>
      </c>
      <c r="C60" s="45">
        <v>4.5999999999999999E-2</v>
      </c>
    </row>
    <row r="61" spans="1:4" ht="15.75" customHeight="1" x14ac:dyDescent="0.25">
      <c r="B61" s="11" t="s">
        <v>54</v>
      </c>
      <c r="C61" s="45">
        <v>1.4E-2</v>
      </c>
    </row>
    <row r="62" spans="1:4" ht="15.75" customHeight="1" x14ac:dyDescent="0.25">
      <c r="B62" s="11" t="s">
        <v>55</v>
      </c>
      <c r="C62" s="44">
        <v>7.2826089999999899E-2</v>
      </c>
    </row>
    <row r="63" spans="1:4" ht="15.75" customHeight="1" x14ac:dyDescent="0.3">
      <c r="A63" s="4"/>
    </row>
  </sheetData>
  <sheetProtection algorithmName="SHA-512" hashValue="yhO3A/7ogScQKKv7lXUGC9CoVyICjceFFRjTsMohTK8bhTOO/yn0Gnugo/XyoVDeI5ka0GSLXjJ6Q2MNf7pyqg==" saltValue="fYAoZXD7m2jFSdfe+sbAm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topLeftCell="A10" zoomScale="70" zoomScaleNormal="70" workbookViewId="0">
      <selection activeCell="B2" sqref="B2:D39"/>
    </sheetView>
  </sheetViews>
  <sheetFormatPr defaultColWidth="14.453125" defaultRowHeight="15.75" customHeight="1" x14ac:dyDescent="0.25"/>
  <cols>
    <col min="1" max="1" width="56" style="5" customWidth="1"/>
    <col min="2" max="2" width="20" style="8" customWidth="1"/>
    <col min="3" max="3" width="20.453125" style="8" customWidth="1"/>
    <col min="4" max="4" width="20.08984375" style="8" customWidth="1"/>
    <col min="5" max="5" width="36.36328125" style="8" bestFit="1" customWidth="1"/>
    <col min="6" max="6" width="23" style="8" bestFit="1" customWidth="1"/>
    <col min="7" max="7" width="22.6328125" style="8" bestFit="1" customWidth="1"/>
    <col min="8" max="8" width="14.453125" style="8" customWidth="1"/>
    <col min="9" max="16384" width="14.453125" style="8"/>
  </cols>
  <sheetData>
    <row r="1" spans="1:7" ht="26" customHeight="1" x14ac:dyDescent="0.3">
      <c r="A1" s="1" t="s">
        <v>156</v>
      </c>
      <c r="B1" s="22" t="str">
        <f>"Baseline ("&amp;start_year&amp;") coverage"</f>
        <v>Baseline (2021) coverage</v>
      </c>
      <c r="C1" s="22" t="s">
        <v>161</v>
      </c>
      <c r="D1" s="22" t="s">
        <v>162</v>
      </c>
      <c r="E1" s="22" t="s">
        <v>163</v>
      </c>
      <c r="F1" s="22" t="s">
        <v>164</v>
      </c>
      <c r="G1" s="22" t="s">
        <v>165</v>
      </c>
    </row>
    <row r="2" spans="1:7" ht="15.75" customHeight="1" x14ac:dyDescent="0.25">
      <c r="A2" s="5" t="s">
        <v>166</v>
      </c>
      <c r="B2" s="45">
        <v>9.2061889043450404E-2</v>
      </c>
      <c r="C2" s="98">
        <v>0.95</v>
      </c>
      <c r="D2" s="56">
        <v>56.337138300604238</v>
      </c>
      <c r="E2" s="56" t="s">
        <v>167</v>
      </c>
      <c r="F2" s="98">
        <v>1</v>
      </c>
      <c r="G2" s="98">
        <v>1</v>
      </c>
    </row>
    <row r="3" spans="1:7" ht="15.75" customHeight="1" x14ac:dyDescent="0.25">
      <c r="A3" s="5" t="s">
        <v>168</v>
      </c>
      <c r="B3" s="45">
        <v>0</v>
      </c>
      <c r="C3" s="98">
        <v>0.95</v>
      </c>
      <c r="D3" s="56">
        <v>39.842199870999643</v>
      </c>
      <c r="E3" s="56" t="s">
        <v>167</v>
      </c>
      <c r="F3" s="98">
        <v>1</v>
      </c>
      <c r="G3" s="98">
        <v>1</v>
      </c>
    </row>
    <row r="4" spans="1:7" ht="15.75" customHeight="1" x14ac:dyDescent="0.25">
      <c r="A4" s="5" t="s">
        <v>169</v>
      </c>
      <c r="B4" s="98">
        <v>0</v>
      </c>
      <c r="C4" s="98">
        <v>0.95</v>
      </c>
      <c r="D4" s="56">
        <v>387.87092573663659</v>
      </c>
      <c r="E4" s="56" t="s">
        <v>167</v>
      </c>
      <c r="F4" s="98">
        <v>1</v>
      </c>
      <c r="G4" s="98">
        <v>1</v>
      </c>
    </row>
    <row r="5" spans="1:7" ht="15.75" customHeight="1" x14ac:dyDescent="0.25">
      <c r="A5" s="5" t="s">
        <v>170</v>
      </c>
      <c r="B5" s="98">
        <v>0</v>
      </c>
      <c r="C5" s="98">
        <v>0.95</v>
      </c>
      <c r="D5" s="56">
        <v>5.8691064570772804</v>
      </c>
      <c r="E5" s="56" t="s">
        <v>167</v>
      </c>
      <c r="F5" s="98">
        <v>1</v>
      </c>
      <c r="G5" s="98">
        <v>1</v>
      </c>
    </row>
    <row r="6" spans="1:7" ht="15.75" customHeight="1" x14ac:dyDescent="0.25">
      <c r="A6" s="5" t="s">
        <v>171</v>
      </c>
      <c r="B6" s="98">
        <v>0</v>
      </c>
      <c r="C6" s="98">
        <v>0.95</v>
      </c>
      <c r="D6" s="56">
        <v>99.99</v>
      </c>
      <c r="E6" s="56" t="s">
        <v>167</v>
      </c>
      <c r="F6" s="98">
        <v>1</v>
      </c>
      <c r="G6" s="98">
        <v>1</v>
      </c>
    </row>
    <row r="7" spans="1:7" ht="15.75" customHeight="1" x14ac:dyDescent="0.25">
      <c r="A7" s="5" t="s">
        <v>172</v>
      </c>
      <c r="B7" s="98">
        <v>0</v>
      </c>
      <c r="C7" s="98">
        <v>0.95</v>
      </c>
      <c r="D7" s="56">
        <v>99.99</v>
      </c>
      <c r="E7" s="56" t="s">
        <v>167</v>
      </c>
      <c r="F7" s="98">
        <v>1</v>
      </c>
      <c r="G7" s="98">
        <v>1</v>
      </c>
    </row>
    <row r="8" spans="1:7" ht="15.75" customHeight="1" x14ac:dyDescent="0.25">
      <c r="A8" s="5" t="s">
        <v>173</v>
      </c>
      <c r="B8" s="98">
        <v>0</v>
      </c>
      <c r="C8" s="98">
        <v>0.95</v>
      </c>
      <c r="D8" s="56">
        <v>99.99</v>
      </c>
      <c r="E8" s="56" t="s">
        <v>167</v>
      </c>
      <c r="F8" s="98">
        <v>1</v>
      </c>
      <c r="G8" s="98">
        <v>1</v>
      </c>
    </row>
    <row r="9" spans="1:7" ht="15.75" customHeight="1" x14ac:dyDescent="0.25">
      <c r="A9" s="5" t="s">
        <v>174</v>
      </c>
      <c r="B9" s="98">
        <v>0</v>
      </c>
      <c r="C9" s="98">
        <v>0.95</v>
      </c>
      <c r="D9" s="56">
        <v>99.99</v>
      </c>
      <c r="E9" s="56" t="s">
        <v>167</v>
      </c>
      <c r="F9" s="98">
        <v>1</v>
      </c>
      <c r="G9" s="98">
        <v>1</v>
      </c>
    </row>
    <row r="10" spans="1:7" ht="15.75" customHeight="1" x14ac:dyDescent="0.25">
      <c r="A10" s="11" t="s">
        <v>175</v>
      </c>
      <c r="B10" s="45">
        <v>0</v>
      </c>
      <c r="C10" s="98">
        <v>0.95</v>
      </c>
      <c r="D10" s="56">
        <v>12.974499314795549</v>
      </c>
      <c r="E10" s="56" t="s">
        <v>167</v>
      </c>
      <c r="F10" s="98">
        <v>1</v>
      </c>
      <c r="G10" s="98">
        <v>1</v>
      </c>
    </row>
    <row r="11" spans="1:7" ht="15.75" customHeight="1" x14ac:dyDescent="0.25">
      <c r="A11" s="11" t="s">
        <v>176</v>
      </c>
      <c r="B11" s="98">
        <v>0</v>
      </c>
      <c r="C11" s="98">
        <v>0.95</v>
      </c>
      <c r="D11" s="56">
        <v>12.974499314795549</v>
      </c>
      <c r="E11" s="56" t="s">
        <v>167</v>
      </c>
      <c r="F11" s="98">
        <v>1</v>
      </c>
      <c r="G11" s="98">
        <v>1</v>
      </c>
    </row>
    <row r="12" spans="1:7" ht="15.75" customHeight="1" x14ac:dyDescent="0.25">
      <c r="A12" s="11" t="s">
        <v>177</v>
      </c>
      <c r="B12" s="98">
        <v>0</v>
      </c>
      <c r="C12" s="98">
        <v>0.95</v>
      </c>
      <c r="D12" s="56">
        <v>12.974499314795549</v>
      </c>
      <c r="E12" s="56" t="s">
        <v>167</v>
      </c>
      <c r="F12" s="98">
        <v>1</v>
      </c>
      <c r="G12" s="98">
        <v>1</v>
      </c>
    </row>
    <row r="13" spans="1:7" ht="15.75" customHeight="1" x14ac:dyDescent="0.25">
      <c r="A13" s="11" t="s">
        <v>178</v>
      </c>
      <c r="B13" s="98">
        <v>0</v>
      </c>
      <c r="C13" s="98">
        <v>0.95</v>
      </c>
      <c r="D13" s="56">
        <v>12.974499314795549</v>
      </c>
      <c r="E13" s="56" t="s">
        <v>167</v>
      </c>
      <c r="F13" s="98">
        <v>1</v>
      </c>
      <c r="G13" s="98">
        <v>1</v>
      </c>
    </row>
    <row r="14" spans="1:7" ht="15.75" customHeight="1" x14ac:dyDescent="0.25">
      <c r="A14" s="5" t="s">
        <v>179</v>
      </c>
      <c r="B14" s="45">
        <v>0</v>
      </c>
      <c r="C14" s="98">
        <v>0.95</v>
      </c>
      <c r="D14" s="56">
        <v>12.974499314795549</v>
      </c>
      <c r="E14" s="56" t="s">
        <v>167</v>
      </c>
      <c r="F14" s="98">
        <v>1</v>
      </c>
      <c r="G14" s="98">
        <v>1</v>
      </c>
    </row>
    <row r="15" spans="1:7" ht="15.75" customHeight="1" x14ac:dyDescent="0.25">
      <c r="A15" s="5" t="s">
        <v>180</v>
      </c>
      <c r="B15" s="98">
        <v>0</v>
      </c>
      <c r="C15" s="98">
        <v>0.95</v>
      </c>
      <c r="D15" s="56">
        <v>12.974499314795549</v>
      </c>
      <c r="E15" s="56" t="s">
        <v>167</v>
      </c>
      <c r="F15" s="98">
        <v>1</v>
      </c>
      <c r="G15" s="98">
        <v>1</v>
      </c>
    </row>
    <row r="16" spans="1:7" ht="15.75" customHeight="1" x14ac:dyDescent="0.25">
      <c r="A16" s="5" t="s">
        <v>181</v>
      </c>
      <c r="B16" s="45">
        <v>0.19576896810135599</v>
      </c>
      <c r="C16" s="98">
        <v>0.95</v>
      </c>
      <c r="D16" s="56">
        <v>0.68126511469090134</v>
      </c>
      <c r="E16" s="56" t="s">
        <v>167</v>
      </c>
      <c r="F16" s="98">
        <v>1</v>
      </c>
      <c r="G16" s="98">
        <v>1</v>
      </c>
    </row>
    <row r="17" spans="1:7" ht="15.75" customHeight="1" x14ac:dyDescent="0.25">
      <c r="A17" s="5" t="s">
        <v>182</v>
      </c>
      <c r="B17" s="98">
        <v>0</v>
      </c>
      <c r="C17" s="98">
        <v>0.95</v>
      </c>
      <c r="D17" s="56">
        <v>0.1369044839662158</v>
      </c>
      <c r="E17" s="56" t="s">
        <v>167</v>
      </c>
      <c r="F17" s="98">
        <v>1</v>
      </c>
      <c r="G17" s="98">
        <v>1</v>
      </c>
    </row>
    <row r="18" spans="1:7" ht="15.9" customHeight="1" x14ac:dyDescent="0.25">
      <c r="A18" s="5" t="s">
        <v>148</v>
      </c>
      <c r="B18" s="98">
        <v>0</v>
      </c>
      <c r="C18" s="98">
        <v>0.95</v>
      </c>
      <c r="D18" s="56">
        <v>8.9498000901640609</v>
      </c>
      <c r="E18" s="56" t="s">
        <v>167</v>
      </c>
      <c r="F18" s="98">
        <v>1</v>
      </c>
      <c r="G18" s="98">
        <v>1</v>
      </c>
    </row>
    <row r="19" spans="1:7" ht="15.75" customHeight="1" x14ac:dyDescent="0.25">
      <c r="A19" s="5" t="s">
        <v>151</v>
      </c>
      <c r="B19" s="98">
        <v>0</v>
      </c>
      <c r="C19" s="98">
        <v>0.95</v>
      </c>
      <c r="D19" s="56">
        <v>8.9498000901640609</v>
      </c>
      <c r="E19" s="56" t="s">
        <v>167</v>
      </c>
      <c r="F19" s="98">
        <v>1</v>
      </c>
      <c r="G19" s="98">
        <v>1</v>
      </c>
    </row>
    <row r="20" spans="1:7" ht="15.75" customHeight="1" x14ac:dyDescent="0.25">
      <c r="A20" s="5" t="s">
        <v>152</v>
      </c>
      <c r="B20" s="98">
        <v>0</v>
      </c>
      <c r="C20" s="98">
        <v>0.95</v>
      </c>
      <c r="D20" s="56">
        <v>99.99</v>
      </c>
      <c r="E20" s="56" t="s">
        <v>167</v>
      </c>
      <c r="F20" s="98">
        <v>1</v>
      </c>
      <c r="G20" s="98">
        <v>1</v>
      </c>
    </row>
    <row r="21" spans="1:7" ht="15.75" customHeight="1" x14ac:dyDescent="0.25">
      <c r="A21" s="5" t="s">
        <v>183</v>
      </c>
      <c r="B21" s="45">
        <v>0</v>
      </c>
      <c r="C21" s="98">
        <v>0.95</v>
      </c>
      <c r="D21" s="56">
        <v>69.283092298354532</v>
      </c>
      <c r="E21" s="56" t="s">
        <v>167</v>
      </c>
      <c r="F21" s="98">
        <v>1</v>
      </c>
      <c r="G21" s="98">
        <v>1</v>
      </c>
    </row>
    <row r="22" spans="1:7" ht="15.75" customHeight="1" x14ac:dyDescent="0.25">
      <c r="A22" s="5" t="s">
        <v>184</v>
      </c>
      <c r="B22" s="98">
        <v>0</v>
      </c>
      <c r="C22" s="98">
        <v>0.95</v>
      </c>
      <c r="D22" s="56">
        <v>22.370086288750748</v>
      </c>
      <c r="E22" s="56" t="s">
        <v>167</v>
      </c>
      <c r="F22" s="98">
        <v>1</v>
      </c>
      <c r="G22" s="98">
        <v>1</v>
      </c>
    </row>
    <row r="23" spans="1:7" ht="15.75" customHeight="1" x14ac:dyDescent="0.25">
      <c r="A23" s="5" t="s">
        <v>185</v>
      </c>
      <c r="B23" s="98">
        <v>1.4E-2</v>
      </c>
      <c r="C23" s="98">
        <v>0.95</v>
      </c>
      <c r="D23" s="56">
        <v>4.2557875816009592</v>
      </c>
      <c r="E23" s="56" t="s">
        <v>167</v>
      </c>
      <c r="F23" s="98">
        <v>1</v>
      </c>
      <c r="G23" s="98">
        <v>1</v>
      </c>
    </row>
    <row r="24" spans="1:7" ht="15.75" customHeight="1" x14ac:dyDescent="0.25">
      <c r="A24" s="5" t="s">
        <v>186</v>
      </c>
      <c r="B24" s="45">
        <v>0.58118711531353195</v>
      </c>
      <c r="C24" s="98">
        <v>0.95</v>
      </c>
      <c r="D24" s="56">
        <v>99.99</v>
      </c>
      <c r="E24" s="56" t="s">
        <v>167</v>
      </c>
      <c r="F24" s="98">
        <v>1</v>
      </c>
      <c r="G24" s="98">
        <v>1</v>
      </c>
    </row>
    <row r="25" spans="1:7" ht="15.75" customHeight="1" x14ac:dyDescent="0.25">
      <c r="A25" s="5" t="s">
        <v>187</v>
      </c>
      <c r="B25" s="98">
        <v>0</v>
      </c>
      <c r="C25" s="98">
        <v>0.95</v>
      </c>
      <c r="D25" s="56">
        <v>99.99</v>
      </c>
      <c r="E25" s="56" t="s">
        <v>167</v>
      </c>
      <c r="F25" s="98">
        <v>1</v>
      </c>
      <c r="G25" s="98">
        <v>1</v>
      </c>
    </row>
    <row r="26" spans="1:7" ht="15.75" customHeight="1" x14ac:dyDescent="0.25">
      <c r="A26" s="5" t="s">
        <v>188</v>
      </c>
      <c r="B26" s="45">
        <v>0</v>
      </c>
      <c r="C26" s="98">
        <v>0.95</v>
      </c>
      <c r="D26" s="56">
        <v>99.99</v>
      </c>
      <c r="E26" s="56" t="s">
        <v>167</v>
      </c>
      <c r="F26" s="98">
        <v>1</v>
      </c>
      <c r="G26" s="98">
        <v>1</v>
      </c>
    </row>
    <row r="27" spans="1:7" ht="15.75" customHeight="1" x14ac:dyDescent="0.25">
      <c r="A27" s="5" t="s">
        <v>189</v>
      </c>
      <c r="B27" s="45">
        <v>0.118063351565599</v>
      </c>
      <c r="C27" s="98">
        <v>0.95</v>
      </c>
      <c r="D27" s="56">
        <v>18.535649720195959</v>
      </c>
      <c r="E27" s="56" t="s">
        <v>167</v>
      </c>
      <c r="F27" s="98">
        <v>1</v>
      </c>
      <c r="G27" s="98">
        <v>1</v>
      </c>
    </row>
    <row r="28" spans="1:7" ht="15.75" customHeight="1" x14ac:dyDescent="0.25">
      <c r="A28" s="5" t="s">
        <v>190</v>
      </c>
      <c r="B28" s="45">
        <v>0.21083840000000001</v>
      </c>
      <c r="C28" s="98">
        <v>0.95</v>
      </c>
      <c r="D28" s="56">
        <v>99.99</v>
      </c>
      <c r="E28" s="56" t="s">
        <v>167</v>
      </c>
      <c r="F28" s="98">
        <v>1</v>
      </c>
      <c r="G28" s="98">
        <v>1</v>
      </c>
    </row>
    <row r="29" spans="1:7" ht="15.75" customHeight="1" x14ac:dyDescent="0.25">
      <c r="A29" s="5" t="s">
        <v>191</v>
      </c>
      <c r="B29" s="45">
        <v>0</v>
      </c>
      <c r="C29" s="98">
        <v>0.95</v>
      </c>
      <c r="D29" s="56">
        <v>109.78567093836929</v>
      </c>
      <c r="E29" s="56" t="s">
        <v>167</v>
      </c>
      <c r="F29" s="98">
        <v>1</v>
      </c>
      <c r="G29" s="98">
        <v>1</v>
      </c>
    </row>
    <row r="30" spans="1:7" ht="15.75" customHeight="1" x14ac:dyDescent="0.25">
      <c r="A30" s="5" t="s">
        <v>192</v>
      </c>
      <c r="B30" s="98">
        <v>0</v>
      </c>
      <c r="C30" s="98">
        <v>0.95</v>
      </c>
      <c r="D30" s="56">
        <v>99</v>
      </c>
      <c r="E30" s="56" t="s">
        <v>167</v>
      </c>
      <c r="F30" s="98">
        <v>1</v>
      </c>
      <c r="G30" s="98">
        <v>1</v>
      </c>
    </row>
    <row r="31" spans="1:7" ht="15.75" customHeight="1" x14ac:dyDescent="0.25">
      <c r="A31" s="5" t="s">
        <v>157</v>
      </c>
      <c r="B31" s="45">
        <v>0</v>
      </c>
      <c r="C31" s="98">
        <v>0.95</v>
      </c>
      <c r="D31" s="56">
        <v>1.2514852015075351</v>
      </c>
      <c r="E31" s="56" t="s">
        <v>167</v>
      </c>
      <c r="F31" s="98">
        <v>1</v>
      </c>
      <c r="G31" s="98">
        <v>1</v>
      </c>
    </row>
    <row r="32" spans="1:7" ht="15.75" customHeight="1" x14ac:dyDescent="0.25">
      <c r="A32" s="5" t="s">
        <v>193</v>
      </c>
      <c r="B32" s="45">
        <v>8.5698490000000002E-2</v>
      </c>
      <c r="C32" s="98">
        <v>0.95</v>
      </c>
      <c r="D32" s="56">
        <v>1.45890481734541</v>
      </c>
      <c r="E32" s="56" t="s">
        <v>167</v>
      </c>
      <c r="F32" s="98">
        <v>1</v>
      </c>
      <c r="G32" s="98">
        <v>1</v>
      </c>
    </row>
    <row r="33" spans="1:7" ht="15.75" customHeight="1" x14ac:dyDescent="0.25">
      <c r="A33" s="5" t="s">
        <v>194</v>
      </c>
      <c r="B33" s="45">
        <v>0</v>
      </c>
      <c r="C33" s="98">
        <v>0.95</v>
      </c>
      <c r="D33" s="56">
        <v>99.99</v>
      </c>
      <c r="E33" s="56" t="s">
        <v>167</v>
      </c>
      <c r="F33" s="98">
        <v>1</v>
      </c>
      <c r="G33" s="98">
        <v>1</v>
      </c>
    </row>
    <row r="34" spans="1:7" ht="15.75" customHeight="1" x14ac:dyDescent="0.25">
      <c r="A34" s="5" t="s">
        <v>195</v>
      </c>
      <c r="B34" s="45">
        <v>0.92511445347125898</v>
      </c>
      <c r="C34" s="98">
        <v>0.95</v>
      </c>
      <c r="D34" s="56">
        <v>99.99</v>
      </c>
      <c r="E34" s="56" t="s">
        <v>167</v>
      </c>
      <c r="F34" s="98">
        <v>1</v>
      </c>
      <c r="G34" s="98">
        <v>1</v>
      </c>
    </row>
    <row r="35" spans="1:7" ht="15.75" customHeight="1" x14ac:dyDescent="0.25">
      <c r="A35" s="5" t="s">
        <v>196</v>
      </c>
      <c r="B35" s="98">
        <v>0</v>
      </c>
      <c r="C35" s="98">
        <v>0.95</v>
      </c>
      <c r="D35" s="56">
        <v>99.99</v>
      </c>
      <c r="E35" s="56" t="s">
        <v>167</v>
      </c>
      <c r="F35" s="98">
        <v>1</v>
      </c>
      <c r="G35" s="98">
        <v>1</v>
      </c>
    </row>
    <row r="36" spans="1:7" ht="15.75" customHeight="1" x14ac:dyDescent="0.25">
      <c r="A36" s="5" t="s">
        <v>197</v>
      </c>
      <c r="B36" s="45">
        <v>0</v>
      </c>
      <c r="C36" s="98">
        <v>0.95</v>
      </c>
      <c r="D36" s="56">
        <v>99.99</v>
      </c>
      <c r="E36" s="56" t="s">
        <v>167</v>
      </c>
      <c r="F36" s="98">
        <v>1</v>
      </c>
      <c r="G36" s="98">
        <v>1</v>
      </c>
    </row>
    <row r="37" spans="1:7" ht="15.75" customHeight="1" x14ac:dyDescent="0.25">
      <c r="A37" s="5" t="s">
        <v>198</v>
      </c>
      <c r="B37" s="45">
        <v>0.41</v>
      </c>
      <c r="C37" s="98">
        <v>0.95</v>
      </c>
      <c r="D37" s="56">
        <v>99.99</v>
      </c>
      <c r="E37" s="56" t="s">
        <v>167</v>
      </c>
      <c r="F37" s="98">
        <v>1</v>
      </c>
      <c r="G37" s="98">
        <v>1</v>
      </c>
    </row>
    <row r="38" spans="1:7" ht="15.75" customHeight="1" x14ac:dyDescent="0.25">
      <c r="A38" s="5" t="s">
        <v>199</v>
      </c>
      <c r="B38" s="45">
        <v>0</v>
      </c>
      <c r="C38" s="98">
        <v>0.95</v>
      </c>
      <c r="D38" s="56">
        <v>2.24059070083436</v>
      </c>
      <c r="E38" s="56" t="s">
        <v>167</v>
      </c>
      <c r="F38" s="98">
        <v>1</v>
      </c>
      <c r="G38" s="98">
        <v>1</v>
      </c>
    </row>
    <row r="39" spans="1:7" ht="15.75" customHeight="1" x14ac:dyDescent="0.25">
      <c r="A39" s="5" t="s">
        <v>200</v>
      </c>
      <c r="B39" s="45">
        <v>0.34978969999999998</v>
      </c>
      <c r="C39" s="98">
        <v>0.95</v>
      </c>
      <c r="D39" s="56">
        <v>99.99</v>
      </c>
      <c r="E39" s="56" t="s">
        <v>167</v>
      </c>
      <c r="F39" s="98">
        <v>1</v>
      </c>
      <c r="G39" s="98">
        <v>1</v>
      </c>
    </row>
  </sheetData>
  <sheetProtection algorithmName="SHA-512" hashValue="7vflRb+A4U2pEdxn7m/v0lFZNI78qfZXbnYBjV1V9XLM+tHWxQCvL8xYVSz8kIygwB6Bp0chVfPhUDXzL0eOkw==" saltValue="BwzbjGZ5GxwK0BvfdhnvSQ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tabSelected="1" workbookViewId="0">
      <selection activeCell="B11" sqref="B11"/>
    </sheetView>
  </sheetViews>
  <sheetFormatPr defaultColWidth="11.453125" defaultRowHeight="12.5" x14ac:dyDescent="0.25"/>
  <cols>
    <col min="1" max="1" width="53" style="5" bestFit="1" customWidth="1"/>
    <col min="2" max="2" width="47.90625" style="8" customWidth="1"/>
    <col min="3" max="3" width="42.453125" style="8" customWidth="1"/>
    <col min="4" max="4" width="11.453125" style="8" customWidth="1"/>
    <col min="5" max="16384" width="11.453125" style="8"/>
  </cols>
  <sheetData>
    <row r="1" spans="1:3" ht="13" customHeight="1" x14ac:dyDescent="0.3">
      <c r="A1" s="4" t="s">
        <v>156</v>
      </c>
      <c r="B1" s="4" t="s">
        <v>201</v>
      </c>
      <c r="C1" s="4" t="s">
        <v>202</v>
      </c>
    </row>
    <row r="2" spans="1:3" x14ac:dyDescent="0.25">
      <c r="A2" s="57" t="s">
        <v>179</v>
      </c>
      <c r="B2" s="47" t="s">
        <v>189</v>
      </c>
      <c r="C2" s="47"/>
    </row>
    <row r="3" spans="1:3" x14ac:dyDescent="0.25">
      <c r="A3" s="57" t="s">
        <v>180</v>
      </c>
      <c r="B3" s="47" t="s">
        <v>189</v>
      </c>
      <c r="C3" s="47"/>
    </row>
    <row r="4" spans="1:3" x14ac:dyDescent="0.25">
      <c r="A4" s="57" t="s">
        <v>191</v>
      </c>
      <c r="B4" s="47" t="s">
        <v>184</v>
      </c>
      <c r="C4" s="47"/>
    </row>
    <row r="5" spans="1:3" x14ac:dyDescent="0.25">
      <c r="A5" s="57" t="s">
        <v>188</v>
      </c>
      <c r="B5" s="47" t="s">
        <v>184</v>
      </c>
      <c r="C5" s="47"/>
    </row>
    <row r="6" spans="1:3" x14ac:dyDescent="0.25">
      <c r="A6" s="57"/>
      <c r="B6" s="58"/>
      <c r="C6" s="58"/>
    </row>
    <row r="7" spans="1:3" x14ac:dyDescent="0.25">
      <c r="A7" s="57"/>
      <c r="B7" s="58"/>
      <c r="C7" s="58"/>
    </row>
    <row r="8" spans="1:3" x14ac:dyDescent="0.25">
      <c r="A8" s="57"/>
      <c r="B8" s="58"/>
      <c r="C8" s="58"/>
    </row>
    <row r="9" spans="1:3" x14ac:dyDescent="0.25">
      <c r="A9" s="57"/>
      <c r="B9" s="58"/>
      <c r="C9" s="58"/>
    </row>
    <row r="10" spans="1:3" x14ac:dyDescent="0.25">
      <c r="A10" s="57"/>
      <c r="B10" s="58"/>
      <c r="C10" s="58"/>
    </row>
    <row r="11" spans="1:3" x14ac:dyDescent="0.25">
      <c r="A11" s="59"/>
      <c r="B11" s="58"/>
      <c r="C11" s="58"/>
    </row>
    <row r="12" spans="1:3" x14ac:dyDescent="0.25">
      <c r="A12" s="59"/>
      <c r="B12" s="58"/>
      <c r="C12" s="58"/>
    </row>
    <row r="13" spans="1:3" x14ac:dyDescent="0.25">
      <c r="A13" s="59"/>
      <c r="B13" s="58"/>
      <c r="C13" s="58"/>
    </row>
    <row r="14" spans="1:3" x14ac:dyDescent="0.25">
      <c r="A14" s="59"/>
      <c r="B14" s="58"/>
      <c r="C14" s="58"/>
    </row>
    <row r="15" spans="1:3" x14ac:dyDescent="0.25">
      <c r="A15" s="59"/>
      <c r="B15" s="58"/>
      <c r="C15" s="58"/>
    </row>
    <row r="16" spans="1:3" x14ac:dyDescent="0.25">
      <c r="A16" s="59"/>
      <c r="B16" s="58"/>
      <c r="C16" s="58"/>
    </row>
    <row r="17" spans="1:3" x14ac:dyDescent="0.25">
      <c r="A17" s="59"/>
      <c r="B17" s="58"/>
      <c r="C17" s="58"/>
    </row>
    <row r="18" spans="1:3" x14ac:dyDescent="0.25">
      <c r="A18" s="59"/>
      <c r="B18" s="58"/>
      <c r="C18" s="58"/>
    </row>
    <row r="19" spans="1:3" x14ac:dyDescent="0.25">
      <c r="A19" s="57"/>
      <c r="B19" s="58"/>
      <c r="C19" s="58"/>
    </row>
    <row r="20" spans="1:3" x14ac:dyDescent="0.25">
      <c r="A20" s="57"/>
      <c r="B20" s="58"/>
      <c r="C20" s="58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53125" defaultRowHeight="12.5" x14ac:dyDescent="0.25"/>
  <cols>
    <col min="1" max="1" width="30.08984375" style="8" customWidth="1"/>
    <col min="2" max="2" width="11.453125" style="8" customWidth="1"/>
    <col min="3" max="16384" width="11.453125" style="8"/>
  </cols>
  <sheetData>
    <row r="1" spans="1:1" ht="13" customHeight="1" x14ac:dyDescent="0.3">
      <c r="A1" s="4" t="s">
        <v>156</v>
      </c>
    </row>
    <row r="2" spans="1:1" x14ac:dyDescent="0.25">
      <c r="A2" s="33" t="s">
        <v>171</v>
      </c>
    </row>
    <row r="3" spans="1:1" x14ac:dyDescent="0.25">
      <c r="A3" s="33" t="s">
        <v>181</v>
      </c>
    </row>
    <row r="4" spans="1:1" x14ac:dyDescent="0.25">
      <c r="A4" s="33" t="s">
        <v>185</v>
      </c>
    </row>
    <row r="5" spans="1:1" x14ac:dyDescent="0.25">
      <c r="A5" s="33" t="s">
        <v>194</v>
      </c>
    </row>
    <row r="6" spans="1:1" x14ac:dyDescent="0.25">
      <c r="A6" s="33" t="s">
        <v>195</v>
      </c>
    </row>
    <row r="7" spans="1:1" x14ac:dyDescent="0.25">
      <c r="A7" s="33" t="s">
        <v>196</v>
      </c>
    </row>
    <row r="8" spans="1:1" x14ac:dyDescent="0.25">
      <c r="A8" s="33" t="s">
        <v>197</v>
      </c>
    </row>
    <row r="9" spans="1:1" x14ac:dyDescent="0.25">
      <c r="A9" s="33" t="s">
        <v>198</v>
      </c>
    </row>
    <row r="10" spans="1:1" x14ac:dyDescent="0.25">
      <c r="A10" s="33"/>
    </row>
    <row r="11" spans="1:1" x14ac:dyDescent="0.25">
      <c r="A11" s="33"/>
    </row>
    <row r="12" spans="1:1" x14ac:dyDescent="0.25">
      <c r="A12" s="33"/>
    </row>
    <row r="13" spans="1:1" x14ac:dyDescent="0.25">
      <c r="A13" s="33"/>
    </row>
    <row r="14" spans="1:1" x14ac:dyDescent="0.25">
      <c r="A14" s="33"/>
    </row>
    <row r="15" spans="1:1" x14ac:dyDescent="0.25">
      <c r="A15" s="33"/>
    </row>
    <row r="16" spans="1:1" x14ac:dyDescent="0.25">
      <c r="A16" s="33"/>
    </row>
    <row r="17" spans="1:1" x14ac:dyDescent="0.25">
      <c r="A17" s="33"/>
    </row>
    <row r="18" spans="1:1" x14ac:dyDescent="0.25">
      <c r="A18" s="33"/>
    </row>
    <row r="19" spans="1:1" x14ac:dyDescent="0.25">
      <c r="A19" s="33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E4" sqref="E4"/>
    </sheetView>
  </sheetViews>
  <sheetFormatPr defaultColWidth="14.453125" defaultRowHeight="15.75" customHeight="1" x14ac:dyDescent="0.25"/>
  <sheetData>
    <row r="1" spans="1:6" ht="15.75" customHeight="1" x14ac:dyDescent="0.25">
      <c r="A1" s="3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3" t="s">
        <v>81</v>
      </c>
      <c r="B2" s="21">
        <f>'Baseline year population inputs'!C51</f>
        <v>2.8</v>
      </c>
      <c r="C2" s="21">
        <f>'Baseline year population inputs'!C52</f>
        <v>2.8</v>
      </c>
      <c r="D2" s="21">
        <f>'Baseline year population inputs'!C53</f>
        <v>2.8</v>
      </c>
      <c r="E2" s="21">
        <f>'Baseline year population inputs'!C54</f>
        <v>2.8</v>
      </c>
      <c r="F2" s="21">
        <f>'Baseline year population inputs'!C55</f>
        <v>2.8</v>
      </c>
    </row>
    <row r="3" spans="1:6" ht="15.75" customHeight="1" x14ac:dyDescent="0.25">
      <c r="A3" s="3" t="s">
        <v>204</v>
      </c>
      <c r="B3" s="21">
        <f>frac_mam_1month * 2.6</f>
        <v>0.32973110377788623</v>
      </c>
      <c r="C3" s="21">
        <f>frac_mam_1_5months * 2.6</f>
        <v>0.32973110377788623</v>
      </c>
      <c r="D3" s="21">
        <f>frac_mam_6_11months * 2.6</f>
        <v>0.31419860124588</v>
      </c>
      <c r="E3" s="21">
        <f>frac_mam_12_23months * 2.6</f>
        <v>8.4434492141008358E-2</v>
      </c>
      <c r="F3" s="21">
        <f>frac_mam_24_59months * 2.6</f>
        <v>6.0749116912484261E-2</v>
      </c>
    </row>
    <row r="4" spans="1:6" ht="15.75" customHeight="1" x14ac:dyDescent="0.25">
      <c r="A4" s="3" t="s">
        <v>205</v>
      </c>
      <c r="B4" s="21">
        <f>frac_sam_1month * 2.6</f>
        <v>0.13338768184185029</v>
      </c>
      <c r="C4" s="21">
        <f>frac_sam_1_5months * 2.6</f>
        <v>0.13338768184185029</v>
      </c>
      <c r="D4" s="21">
        <f>frac_sam_6_11months * 2.6</f>
        <v>7.3564464971423146E-2</v>
      </c>
      <c r="E4" s="21">
        <f>frac_sam_12_23months * 2.6</f>
        <v>5.9594119712710447E-2</v>
      </c>
      <c r="F4" s="21">
        <f>frac_sam_24_59months * 2.6</f>
        <v>3.5333008691668479E-2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D7" sqref="D7"/>
    </sheetView>
  </sheetViews>
  <sheetFormatPr defaultColWidth="14.453125" defaultRowHeight="15.75" customHeight="1" x14ac:dyDescent="0.25"/>
  <cols>
    <col min="1" max="1" width="20" bestFit="1" customWidth="1"/>
    <col min="2" max="2" width="45.90625" customWidth="1"/>
    <col min="3" max="3" width="8.453125" bestFit="1" customWidth="1"/>
    <col min="4" max="4" width="10" bestFit="1" customWidth="1"/>
    <col min="5" max="5" width="10.90625" bestFit="1" customWidth="1"/>
    <col min="6" max="7" width="11.90625" bestFit="1" customWidth="1"/>
    <col min="8" max="11" width="13.90625" bestFit="1" customWidth="1"/>
    <col min="12" max="15" width="15.08984375" bestFit="1" customWidth="1"/>
  </cols>
  <sheetData>
    <row r="1" spans="1:15" ht="15.75" customHeight="1" x14ac:dyDescent="0.3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">
      <c r="A2" s="4" t="s">
        <v>76</v>
      </c>
      <c r="B2" s="5" t="s">
        <v>169</v>
      </c>
      <c r="C2" s="60">
        <v>0</v>
      </c>
      <c r="D2" s="60">
        <f>food_insecure</f>
        <v>0</v>
      </c>
      <c r="E2" s="60">
        <f>food_insecure</f>
        <v>0</v>
      </c>
      <c r="F2" s="60">
        <f>food_insecure</f>
        <v>0</v>
      </c>
      <c r="G2" s="60">
        <f>food_insecure</f>
        <v>0</v>
      </c>
      <c r="H2" s="61">
        <v>0</v>
      </c>
      <c r="I2" s="61">
        <v>0</v>
      </c>
      <c r="J2" s="61">
        <v>0</v>
      </c>
      <c r="K2" s="61">
        <v>0</v>
      </c>
      <c r="L2" s="61">
        <v>0</v>
      </c>
      <c r="M2" s="61">
        <v>0</v>
      </c>
      <c r="N2" s="61">
        <v>0</v>
      </c>
      <c r="O2" s="61">
        <v>0</v>
      </c>
    </row>
    <row r="3" spans="1:15" ht="15.75" customHeight="1" x14ac:dyDescent="0.25">
      <c r="B3" s="5" t="s">
        <v>170</v>
      </c>
      <c r="C3" s="60">
        <v>1</v>
      </c>
      <c r="D3" s="60">
        <v>0</v>
      </c>
      <c r="E3" s="60">
        <v>0</v>
      </c>
      <c r="F3" s="60">
        <v>0</v>
      </c>
      <c r="G3" s="60">
        <v>0</v>
      </c>
      <c r="H3" s="61">
        <v>0</v>
      </c>
      <c r="I3" s="61">
        <v>0</v>
      </c>
      <c r="J3" s="61">
        <v>0</v>
      </c>
      <c r="K3" s="61">
        <v>0</v>
      </c>
      <c r="L3" s="61">
        <v>0</v>
      </c>
      <c r="M3" s="61">
        <v>0</v>
      </c>
      <c r="N3" s="61">
        <v>0</v>
      </c>
      <c r="O3" s="61">
        <v>0</v>
      </c>
    </row>
    <row r="4" spans="1:15" ht="15.75" customHeight="1" x14ac:dyDescent="0.25">
      <c r="B4" s="5" t="s">
        <v>183</v>
      </c>
      <c r="C4" s="60">
        <v>1</v>
      </c>
      <c r="D4" s="60">
        <v>0</v>
      </c>
      <c r="E4" s="60">
        <v>0</v>
      </c>
      <c r="F4" s="60">
        <v>0</v>
      </c>
      <c r="G4" s="60">
        <v>0</v>
      </c>
      <c r="H4" s="61">
        <v>0</v>
      </c>
      <c r="I4" s="61">
        <v>0</v>
      </c>
      <c r="J4" s="61">
        <v>0</v>
      </c>
      <c r="K4" s="61">
        <v>0</v>
      </c>
      <c r="L4" s="61">
        <v>0</v>
      </c>
      <c r="M4" s="61">
        <v>0</v>
      </c>
      <c r="N4" s="61">
        <v>0</v>
      </c>
      <c r="O4" s="61">
        <v>0</v>
      </c>
    </row>
    <row r="5" spans="1:15" ht="15.75" customHeight="1" x14ac:dyDescent="0.25">
      <c r="B5" s="5" t="s">
        <v>184</v>
      </c>
      <c r="C5" s="60">
        <v>0</v>
      </c>
      <c r="D5" s="60">
        <v>0</v>
      </c>
      <c r="E5" s="60">
        <f>food_insecure</f>
        <v>0</v>
      </c>
      <c r="F5" s="60">
        <f>food_insecure</f>
        <v>0</v>
      </c>
      <c r="G5" s="60">
        <v>0</v>
      </c>
      <c r="H5" s="61">
        <v>0</v>
      </c>
      <c r="I5" s="61">
        <v>0</v>
      </c>
      <c r="J5" s="61">
        <v>0</v>
      </c>
      <c r="K5" s="61">
        <v>0</v>
      </c>
      <c r="L5" s="61">
        <v>0</v>
      </c>
      <c r="M5" s="61">
        <v>0</v>
      </c>
      <c r="N5" s="61">
        <v>0</v>
      </c>
      <c r="O5" s="61">
        <v>0</v>
      </c>
    </row>
    <row r="6" spans="1:15" ht="15.75" customHeight="1" x14ac:dyDescent="0.25">
      <c r="B6" s="5" t="s">
        <v>188</v>
      </c>
      <c r="C6" s="60">
        <v>0</v>
      </c>
      <c r="D6" s="60">
        <v>0</v>
      </c>
      <c r="E6" s="60">
        <f>1</f>
        <v>1</v>
      </c>
      <c r="F6" s="60">
        <f>1</f>
        <v>1</v>
      </c>
      <c r="G6" s="60">
        <f>1</f>
        <v>1</v>
      </c>
      <c r="H6" s="61">
        <v>0</v>
      </c>
      <c r="I6" s="61">
        <v>0</v>
      </c>
      <c r="J6" s="61">
        <v>0</v>
      </c>
      <c r="K6" s="61">
        <v>0</v>
      </c>
      <c r="L6" s="61">
        <v>0</v>
      </c>
      <c r="M6" s="61">
        <v>0</v>
      </c>
      <c r="N6" s="61">
        <v>0</v>
      </c>
      <c r="O6" s="61">
        <v>0</v>
      </c>
    </row>
    <row r="7" spans="1:15" ht="15.75" customHeight="1" x14ac:dyDescent="0.25">
      <c r="B7" s="9" t="s">
        <v>190</v>
      </c>
      <c r="C7" s="60">
        <f>diarrhoea_1mo*frac_diarrhea_severe</f>
        <v>4.6000000000000006E-2</v>
      </c>
      <c r="D7" s="60">
        <f>diarrhoea_1_5mo*frac_diarrhea_severe</f>
        <v>4.6000000000000006E-2</v>
      </c>
      <c r="E7" s="60">
        <f>diarrhoea_6_11mo*frac_diarrhea_severe</f>
        <v>4.6000000000000006E-2</v>
      </c>
      <c r="F7" s="60">
        <f>diarrhoea_12_23mo*frac_diarrhea_severe</f>
        <v>4.6000000000000006E-2</v>
      </c>
      <c r="G7" s="60">
        <f>diarrhoea_24_59mo*frac_diarrhea_severe</f>
        <v>4.6000000000000006E-2</v>
      </c>
      <c r="H7" s="61">
        <v>0</v>
      </c>
      <c r="I7" s="61">
        <v>0</v>
      </c>
      <c r="J7" s="61">
        <v>0</v>
      </c>
      <c r="K7" s="61">
        <v>0</v>
      </c>
      <c r="L7" s="61">
        <v>0</v>
      </c>
      <c r="M7" s="61">
        <v>0</v>
      </c>
      <c r="N7" s="61">
        <v>0</v>
      </c>
      <c r="O7" s="61">
        <v>0</v>
      </c>
    </row>
    <row r="8" spans="1:15" ht="15.75" customHeight="1" x14ac:dyDescent="0.25">
      <c r="B8" s="5" t="s">
        <v>191</v>
      </c>
      <c r="C8" s="60">
        <v>0</v>
      </c>
      <c r="D8" s="60">
        <v>0</v>
      </c>
      <c r="E8" s="60">
        <f>food_insecure</f>
        <v>0</v>
      </c>
      <c r="F8" s="60">
        <f>food_insecure</f>
        <v>0</v>
      </c>
      <c r="G8" s="60">
        <v>0</v>
      </c>
      <c r="H8" s="61">
        <v>0</v>
      </c>
      <c r="I8" s="61">
        <v>0</v>
      </c>
      <c r="J8" s="61">
        <v>0</v>
      </c>
      <c r="K8" s="61">
        <v>0</v>
      </c>
      <c r="L8" s="61">
        <v>0</v>
      </c>
      <c r="M8" s="61">
        <v>0</v>
      </c>
      <c r="N8" s="61">
        <v>0</v>
      </c>
      <c r="O8" s="61">
        <v>0</v>
      </c>
    </row>
    <row r="9" spans="1:15" ht="15.75" customHeight="1" x14ac:dyDescent="0.25">
      <c r="B9" s="5" t="s">
        <v>192</v>
      </c>
      <c r="C9" s="60">
        <v>0</v>
      </c>
      <c r="D9" s="60">
        <v>0</v>
      </c>
      <c r="E9" s="60">
        <f>food_insecure</f>
        <v>0</v>
      </c>
      <c r="F9" s="60">
        <f>food_insecure</f>
        <v>0</v>
      </c>
      <c r="G9" s="60">
        <v>0</v>
      </c>
      <c r="H9" s="61">
        <v>0</v>
      </c>
      <c r="I9" s="61">
        <v>0</v>
      </c>
      <c r="J9" s="61">
        <v>0</v>
      </c>
      <c r="K9" s="61">
        <v>0</v>
      </c>
      <c r="L9" s="61">
        <v>0</v>
      </c>
      <c r="M9" s="61">
        <v>0</v>
      </c>
      <c r="N9" s="61">
        <v>0</v>
      </c>
      <c r="O9" s="61">
        <v>0</v>
      </c>
    </row>
    <row r="10" spans="1:15" ht="15.75" customHeight="1" x14ac:dyDescent="0.25">
      <c r="B10" s="5" t="s">
        <v>157</v>
      </c>
      <c r="C10" s="60">
        <v>0</v>
      </c>
      <c r="D10" s="60">
        <f>IF(ISBLANK(comm_deliv), frac_children_health_facility,1)</f>
        <v>0.32500000000000001</v>
      </c>
      <c r="E10" s="60">
        <f>IF(ISBLANK(comm_deliv), frac_children_health_facility,1)</f>
        <v>0.32500000000000001</v>
      </c>
      <c r="F10" s="60">
        <f>IF(ISBLANK(comm_deliv), frac_children_health_facility,1)</f>
        <v>0.32500000000000001</v>
      </c>
      <c r="G10" s="60">
        <f>IF(ISBLANK(comm_deliv), frac_children_health_facility,1)</f>
        <v>0.32500000000000001</v>
      </c>
      <c r="H10" s="61">
        <v>0</v>
      </c>
      <c r="I10" s="61">
        <v>0</v>
      </c>
      <c r="J10" s="61">
        <v>0</v>
      </c>
      <c r="K10" s="61">
        <v>0</v>
      </c>
      <c r="L10" s="61">
        <v>0</v>
      </c>
      <c r="M10" s="61">
        <v>0</v>
      </c>
      <c r="N10" s="61">
        <v>0</v>
      </c>
      <c r="O10" s="61">
        <v>0</v>
      </c>
    </row>
    <row r="11" spans="1:15" ht="15" customHeight="1" x14ac:dyDescent="0.25">
      <c r="B11" s="5" t="s">
        <v>193</v>
      </c>
      <c r="C11" s="60">
        <v>0</v>
      </c>
      <c r="D11" s="60">
        <v>0</v>
      </c>
      <c r="E11" s="60">
        <v>1</v>
      </c>
      <c r="F11" s="60">
        <v>1</v>
      </c>
      <c r="G11" s="60">
        <v>1</v>
      </c>
      <c r="H11" s="61">
        <v>0</v>
      </c>
      <c r="I11" s="61">
        <v>0</v>
      </c>
      <c r="J11" s="61">
        <v>0</v>
      </c>
      <c r="K11" s="61">
        <v>0</v>
      </c>
      <c r="L11" s="61">
        <v>0</v>
      </c>
      <c r="M11" s="61">
        <v>0</v>
      </c>
      <c r="N11" s="61">
        <v>0</v>
      </c>
      <c r="O11" s="61">
        <v>0</v>
      </c>
    </row>
    <row r="12" spans="1:15" ht="15.75" customHeight="1" x14ac:dyDescent="0.25">
      <c r="B12" s="9" t="s">
        <v>199</v>
      </c>
      <c r="C12" s="60">
        <f>diarrhoea_1mo*frac_diarrhea_severe</f>
        <v>4.6000000000000006E-2</v>
      </c>
      <c r="D12" s="60">
        <f>diarrhoea_1_5mo*frac_diarrhea_severe</f>
        <v>4.6000000000000006E-2</v>
      </c>
      <c r="E12" s="60">
        <f>diarrhoea_6_11mo*frac_diarrhea_severe</f>
        <v>4.6000000000000006E-2</v>
      </c>
      <c r="F12" s="60">
        <f>diarrhoea_12_23mo*frac_diarrhea_severe</f>
        <v>4.6000000000000006E-2</v>
      </c>
      <c r="G12" s="60">
        <f>diarrhoea_24_59mo*frac_diarrhea_severe</f>
        <v>4.6000000000000006E-2</v>
      </c>
      <c r="H12" s="61">
        <v>0</v>
      </c>
      <c r="I12" s="61">
        <v>0</v>
      </c>
      <c r="J12" s="61">
        <v>0</v>
      </c>
      <c r="K12" s="61">
        <v>0</v>
      </c>
      <c r="L12" s="61">
        <v>0</v>
      </c>
      <c r="M12" s="61">
        <v>0</v>
      </c>
      <c r="N12" s="61">
        <v>0</v>
      </c>
      <c r="O12" s="61">
        <v>0</v>
      </c>
    </row>
    <row r="13" spans="1:15" ht="15.75" customHeight="1" x14ac:dyDescent="0.25">
      <c r="B13" s="5" t="s">
        <v>200</v>
      </c>
      <c r="C13" s="60">
        <v>0</v>
      </c>
      <c r="D13" s="60">
        <v>0</v>
      </c>
      <c r="E13" s="60">
        <v>1</v>
      </c>
      <c r="F13" s="60">
        <v>1</v>
      </c>
      <c r="G13" s="60">
        <v>1</v>
      </c>
      <c r="H13" s="61">
        <v>0</v>
      </c>
      <c r="I13" s="61">
        <v>0</v>
      </c>
      <c r="J13" s="61">
        <v>0</v>
      </c>
      <c r="K13" s="61">
        <v>0</v>
      </c>
      <c r="L13" s="61">
        <v>0</v>
      </c>
      <c r="M13" s="61">
        <v>0</v>
      </c>
      <c r="N13" s="61">
        <v>0</v>
      </c>
      <c r="O13" s="61">
        <v>0</v>
      </c>
    </row>
    <row r="14" spans="1:15" ht="15.75" customHeight="1" x14ac:dyDescent="0.25">
      <c r="B14" s="9"/>
    </row>
    <row r="15" spans="1:15" ht="15.75" customHeight="1" x14ac:dyDescent="0.3">
      <c r="A15" s="4" t="s">
        <v>90</v>
      </c>
      <c r="B15" s="9" t="s">
        <v>166</v>
      </c>
      <c r="C15" s="61">
        <v>0</v>
      </c>
      <c r="D15" s="61">
        <v>0</v>
      </c>
      <c r="E15" s="61">
        <v>0</v>
      </c>
      <c r="F15" s="61">
        <v>0</v>
      </c>
      <c r="G15" s="61">
        <v>0</v>
      </c>
      <c r="H15" s="60">
        <f>food_insecure</f>
        <v>0</v>
      </c>
      <c r="I15" s="60">
        <f>food_insecure</f>
        <v>0</v>
      </c>
      <c r="J15" s="60">
        <f>food_insecure</f>
        <v>0</v>
      </c>
      <c r="K15" s="60">
        <f>food_insecure</f>
        <v>0</v>
      </c>
      <c r="L15" s="61">
        <v>0</v>
      </c>
      <c r="M15" s="61">
        <v>0</v>
      </c>
      <c r="N15" s="61">
        <v>0</v>
      </c>
      <c r="O15" s="61">
        <v>0</v>
      </c>
    </row>
    <row r="16" spans="1:15" ht="15.75" customHeight="1" x14ac:dyDescent="0.3">
      <c r="A16" s="4"/>
      <c r="B16" s="5" t="s">
        <v>168</v>
      </c>
      <c r="C16" s="61">
        <v>0</v>
      </c>
      <c r="D16" s="61">
        <v>0</v>
      </c>
      <c r="E16" s="61">
        <v>0</v>
      </c>
      <c r="F16" s="61">
        <v>0</v>
      </c>
      <c r="G16" s="61">
        <v>0</v>
      </c>
      <c r="H16" s="60">
        <v>1</v>
      </c>
      <c r="I16" s="60">
        <v>1</v>
      </c>
      <c r="J16" s="60">
        <v>1</v>
      </c>
      <c r="K16" s="60">
        <v>1</v>
      </c>
      <c r="L16" s="61">
        <v>0</v>
      </c>
      <c r="M16" s="61">
        <v>0</v>
      </c>
      <c r="N16" s="61">
        <v>0</v>
      </c>
      <c r="O16" s="61">
        <v>0</v>
      </c>
    </row>
    <row r="17" spans="1:15" ht="15.75" customHeight="1" x14ac:dyDescent="0.3">
      <c r="A17" s="4"/>
      <c r="B17" s="5" t="s">
        <v>179</v>
      </c>
      <c r="C17" s="61">
        <v>0</v>
      </c>
      <c r="D17" s="61">
        <v>0</v>
      </c>
      <c r="E17" s="61">
        <v>0</v>
      </c>
      <c r="F17" s="61">
        <v>0</v>
      </c>
      <c r="G17" s="61">
        <v>0</v>
      </c>
      <c r="H17" s="60">
        <f>1</f>
        <v>1</v>
      </c>
      <c r="I17" s="60">
        <f>1</f>
        <v>1</v>
      </c>
      <c r="J17" s="60">
        <f>1</f>
        <v>1</v>
      </c>
      <c r="K17" s="60">
        <f>1</f>
        <v>1</v>
      </c>
      <c r="L17" s="61">
        <v>0</v>
      </c>
      <c r="M17" s="61">
        <v>0</v>
      </c>
      <c r="N17" s="61">
        <v>0</v>
      </c>
      <c r="O17" s="61">
        <v>0</v>
      </c>
    </row>
    <row r="18" spans="1:15" ht="15.75" customHeight="1" x14ac:dyDescent="0.3">
      <c r="A18" s="4"/>
      <c r="B18" s="5" t="s">
        <v>180</v>
      </c>
      <c r="C18" s="61">
        <v>0</v>
      </c>
      <c r="D18" s="61">
        <v>0</v>
      </c>
      <c r="E18" s="61">
        <v>0</v>
      </c>
      <c r="F18" s="61">
        <v>0</v>
      </c>
      <c r="G18" s="61">
        <v>0</v>
      </c>
      <c r="H18" s="60">
        <f>frac_PW_health_facility</f>
        <v>0.66099999999999992</v>
      </c>
      <c r="I18" s="60">
        <f>frac_PW_health_facility</f>
        <v>0.66099999999999992</v>
      </c>
      <c r="J18" s="60">
        <f>frac_PW_health_facility</f>
        <v>0.66099999999999992</v>
      </c>
      <c r="K18" s="60">
        <f>frac_PW_health_facility</f>
        <v>0.66099999999999992</v>
      </c>
      <c r="L18" s="61">
        <v>0</v>
      </c>
      <c r="M18" s="61">
        <v>0</v>
      </c>
      <c r="N18" s="61">
        <v>0</v>
      </c>
      <c r="O18" s="61">
        <v>0</v>
      </c>
    </row>
    <row r="19" spans="1:15" ht="15" customHeight="1" x14ac:dyDescent="0.25">
      <c r="B19" s="9" t="s">
        <v>181</v>
      </c>
      <c r="C19" s="61">
        <v>0</v>
      </c>
      <c r="D19" s="61">
        <v>0</v>
      </c>
      <c r="E19" s="61">
        <v>0</v>
      </c>
      <c r="F19" s="61">
        <v>0</v>
      </c>
      <c r="G19" s="61">
        <v>0</v>
      </c>
      <c r="H19" s="60">
        <f>frac_malaria_risk</f>
        <v>0.01</v>
      </c>
      <c r="I19" s="60">
        <f>frac_malaria_risk</f>
        <v>0.01</v>
      </c>
      <c r="J19" s="60">
        <f>frac_malaria_risk</f>
        <v>0.01</v>
      </c>
      <c r="K19" s="60">
        <f>frac_malaria_risk</f>
        <v>0.01</v>
      </c>
      <c r="L19" s="61">
        <v>0</v>
      </c>
      <c r="M19" s="61">
        <v>0</v>
      </c>
      <c r="N19" s="61">
        <v>0</v>
      </c>
      <c r="O19" s="61">
        <v>0</v>
      </c>
    </row>
    <row r="20" spans="1:15" ht="15.75" customHeight="1" x14ac:dyDescent="0.25">
      <c r="B20" s="5" t="s">
        <v>186</v>
      </c>
      <c r="C20" s="61">
        <v>0</v>
      </c>
      <c r="D20" s="61">
        <v>0</v>
      </c>
      <c r="E20" s="61">
        <v>0</v>
      </c>
      <c r="F20" s="61">
        <v>0</v>
      </c>
      <c r="G20" s="61">
        <v>0</v>
      </c>
      <c r="H20" s="60">
        <v>1</v>
      </c>
      <c r="I20" s="60">
        <v>1</v>
      </c>
      <c r="J20" s="60">
        <v>1</v>
      </c>
      <c r="K20" s="60">
        <v>1</v>
      </c>
      <c r="L20" s="61">
        <v>0</v>
      </c>
      <c r="M20" s="61">
        <v>0</v>
      </c>
      <c r="N20" s="61">
        <v>0</v>
      </c>
      <c r="O20" s="61">
        <v>0</v>
      </c>
    </row>
    <row r="21" spans="1:15" ht="15.75" customHeight="1" x14ac:dyDescent="0.25">
      <c r="B21" s="5" t="s">
        <v>187</v>
      </c>
      <c r="C21" s="61">
        <v>0</v>
      </c>
      <c r="D21" s="61">
        <v>0</v>
      </c>
      <c r="E21" s="61">
        <v>0</v>
      </c>
      <c r="F21" s="61">
        <v>0</v>
      </c>
      <c r="G21" s="61">
        <v>0</v>
      </c>
      <c r="H21" s="60">
        <v>1</v>
      </c>
      <c r="I21" s="60">
        <v>1</v>
      </c>
      <c r="J21" s="60">
        <v>1</v>
      </c>
      <c r="K21" s="60">
        <v>1</v>
      </c>
      <c r="L21" s="61">
        <v>0</v>
      </c>
      <c r="M21" s="61">
        <v>0</v>
      </c>
      <c r="N21" s="61">
        <v>0</v>
      </c>
      <c r="O21" s="61">
        <v>0</v>
      </c>
    </row>
    <row r="22" spans="1:15" ht="15.75" customHeight="1" x14ac:dyDescent="0.25">
      <c r="B22" s="9" t="s">
        <v>189</v>
      </c>
      <c r="C22" s="61">
        <v>0</v>
      </c>
      <c r="D22" s="61">
        <v>0</v>
      </c>
      <c r="E22" s="61">
        <v>0</v>
      </c>
      <c r="F22" s="61">
        <v>0</v>
      </c>
      <c r="G22" s="61">
        <v>0</v>
      </c>
      <c r="H22" s="60">
        <f>1</f>
        <v>1</v>
      </c>
      <c r="I22" s="60">
        <f>1</f>
        <v>1</v>
      </c>
      <c r="J22" s="60">
        <f>1</f>
        <v>1</v>
      </c>
      <c r="K22" s="60">
        <f>1</f>
        <v>1</v>
      </c>
      <c r="L22" s="61">
        <v>0</v>
      </c>
      <c r="M22" s="61">
        <v>0</v>
      </c>
      <c r="N22" s="61">
        <v>0</v>
      </c>
      <c r="O22" s="61">
        <v>0</v>
      </c>
    </row>
    <row r="23" spans="1:15" ht="15.75" customHeight="1" x14ac:dyDescent="0.25">
      <c r="B23" s="9"/>
    </row>
    <row r="24" spans="1:15" ht="15.75" customHeight="1" x14ac:dyDescent="0.3">
      <c r="A24" s="4" t="s">
        <v>207</v>
      </c>
      <c r="B24" s="11" t="s">
        <v>171</v>
      </c>
      <c r="C24" s="61">
        <v>0</v>
      </c>
      <c r="D24" s="61">
        <v>0</v>
      </c>
      <c r="E24" s="61">
        <v>0</v>
      </c>
      <c r="F24" s="61">
        <v>0</v>
      </c>
      <c r="G24" s="61">
        <v>0</v>
      </c>
      <c r="H24" s="61">
        <v>0</v>
      </c>
      <c r="I24" s="61">
        <v>0</v>
      </c>
      <c r="J24" s="61">
        <v>0</v>
      </c>
      <c r="K24" s="61">
        <v>0</v>
      </c>
      <c r="L24" s="60">
        <f>famplan_unmet_need</f>
        <v>0.249</v>
      </c>
      <c r="M24" s="60">
        <f>famplan_unmet_need</f>
        <v>0.249</v>
      </c>
      <c r="N24" s="60">
        <f>famplan_unmet_need</f>
        <v>0.249</v>
      </c>
      <c r="O24" s="60">
        <f>famplan_unmet_need</f>
        <v>0.249</v>
      </c>
    </row>
    <row r="25" spans="1:15" ht="15.75" customHeight="1" x14ac:dyDescent="0.25">
      <c r="B25" s="11" t="s">
        <v>175</v>
      </c>
      <c r="C25" s="61">
        <v>0</v>
      </c>
      <c r="D25" s="61">
        <v>0</v>
      </c>
      <c r="E25" s="61">
        <v>0</v>
      </c>
      <c r="F25" s="61">
        <v>0</v>
      </c>
      <c r="G25" s="61">
        <v>0</v>
      </c>
      <c r="H25" s="61">
        <v>0</v>
      </c>
      <c r="I25" s="61">
        <v>0</v>
      </c>
      <c r="J25" s="61">
        <v>0</v>
      </c>
      <c r="K25" s="61">
        <v>0</v>
      </c>
      <c r="L25" s="60">
        <f>(1-food_insecure)*(0.49)*(1-school_attendance) + food_insecure*(0.7)*(1-school_attendance)</f>
        <v>4.3175231182999992E-2</v>
      </c>
      <c r="M25" s="60">
        <f>(1-food_insecure)*(0.49)+food_insecure*(0.7)</f>
        <v>0.49</v>
      </c>
      <c r="N25" s="60">
        <f>(1-food_insecure)*(0.49)+food_insecure*(0.7)</f>
        <v>0.49</v>
      </c>
      <c r="O25" s="60">
        <f>(1-food_insecure)*(0.49)+food_insecure*(0.7)</f>
        <v>0.49</v>
      </c>
    </row>
    <row r="26" spans="1:15" ht="15.75" customHeight="1" x14ac:dyDescent="0.25">
      <c r="B26" s="11" t="s">
        <v>176</v>
      </c>
      <c r="C26" s="61">
        <v>0</v>
      </c>
      <c r="D26" s="61">
        <v>0</v>
      </c>
      <c r="E26" s="61">
        <v>0</v>
      </c>
      <c r="F26" s="61">
        <v>0</v>
      </c>
      <c r="G26" s="61">
        <v>0</v>
      </c>
      <c r="H26" s="61">
        <v>0</v>
      </c>
      <c r="I26" s="61">
        <v>0</v>
      </c>
      <c r="J26" s="61">
        <v>0</v>
      </c>
      <c r="K26" s="61">
        <v>0</v>
      </c>
      <c r="L26" s="60">
        <f>(1-food_insecure)*(0.21)*(1-school_attendance) + food_insecure*(0.3)*(1-school_attendance)</f>
        <v>1.8503670506999994E-2</v>
      </c>
      <c r="M26" s="60">
        <f>(1-food_insecure)*(0.21)+food_insecure*(0.3)</f>
        <v>0.21</v>
      </c>
      <c r="N26" s="60">
        <f>(1-food_insecure)*(0.21)+food_insecure*(0.3)</f>
        <v>0.21</v>
      </c>
      <c r="O26" s="60">
        <f>(1-food_insecure)*(0.21)+food_insecure*(0.3)</f>
        <v>0.21</v>
      </c>
    </row>
    <row r="27" spans="1:15" ht="15.75" customHeight="1" x14ac:dyDescent="0.25">
      <c r="B27" s="11" t="s">
        <v>177</v>
      </c>
      <c r="C27" s="61">
        <v>0</v>
      </c>
      <c r="D27" s="61">
        <v>0</v>
      </c>
      <c r="E27" s="61">
        <v>0</v>
      </c>
      <c r="F27" s="61">
        <v>0</v>
      </c>
      <c r="G27" s="61">
        <v>0</v>
      </c>
      <c r="H27" s="61">
        <v>0</v>
      </c>
      <c r="I27" s="61">
        <v>0</v>
      </c>
      <c r="J27" s="61">
        <v>0</v>
      </c>
      <c r="K27" s="61">
        <v>0</v>
      </c>
      <c r="L27" s="60">
        <f>(1-food_insecure)*(0.3)*(1-school_attendance)</f>
        <v>2.6433815009999993E-2</v>
      </c>
      <c r="M27" s="60">
        <f>(1-food_insecure)*(0.3)</f>
        <v>0.3</v>
      </c>
      <c r="N27" s="60">
        <f>(1-food_insecure)*(0.3)</f>
        <v>0.3</v>
      </c>
      <c r="O27" s="60">
        <f>(1-food_insecure)*(0.3)</f>
        <v>0.3</v>
      </c>
    </row>
    <row r="28" spans="1:15" ht="15.75" customHeight="1" x14ac:dyDescent="0.25">
      <c r="B28" s="11" t="s">
        <v>178</v>
      </c>
      <c r="C28" s="61">
        <v>0</v>
      </c>
      <c r="D28" s="61">
        <v>0</v>
      </c>
      <c r="E28" s="61">
        <v>0</v>
      </c>
      <c r="F28" s="61">
        <v>0</v>
      </c>
      <c r="G28" s="61">
        <v>0</v>
      </c>
      <c r="H28" s="61">
        <v>0</v>
      </c>
      <c r="I28" s="61">
        <v>0</v>
      </c>
      <c r="J28" s="61">
        <v>0</v>
      </c>
      <c r="K28" s="61">
        <v>0</v>
      </c>
      <c r="L28" s="60">
        <f>(1-food_insecure)*1*school_attendance + food_insecure*1*school_attendance</f>
        <v>0.91188728330000002</v>
      </c>
      <c r="M28" s="60">
        <v>0</v>
      </c>
      <c r="N28" s="60">
        <v>0</v>
      </c>
      <c r="O28" s="60">
        <v>0</v>
      </c>
    </row>
    <row r="29" spans="1:15" ht="15.75" customHeight="1" x14ac:dyDescent="0.25">
      <c r="B29" s="5"/>
      <c r="C29" s="2"/>
      <c r="D29" s="2"/>
      <c r="E29" s="7"/>
      <c r="F29" s="7"/>
      <c r="G29" s="7"/>
      <c r="H29" s="7"/>
      <c r="I29" s="7"/>
    </row>
    <row r="30" spans="1:15" ht="15.75" customHeight="1" x14ac:dyDescent="0.3">
      <c r="A30" s="4" t="s">
        <v>208</v>
      </c>
      <c r="B30" s="5" t="s">
        <v>172</v>
      </c>
      <c r="C30" s="60">
        <v>0</v>
      </c>
      <c r="D30" s="60">
        <v>0</v>
      </c>
      <c r="E30" s="60">
        <f t="shared" ref="E30:O30" si="0">frac_maize</f>
        <v>0.05</v>
      </c>
      <c r="F30" s="60">
        <f t="shared" si="0"/>
        <v>0.05</v>
      </c>
      <c r="G30" s="60">
        <f t="shared" si="0"/>
        <v>0.05</v>
      </c>
      <c r="H30" s="60">
        <f t="shared" si="0"/>
        <v>0.05</v>
      </c>
      <c r="I30" s="60">
        <f t="shared" si="0"/>
        <v>0.05</v>
      </c>
      <c r="J30" s="60">
        <f t="shared" si="0"/>
        <v>0.05</v>
      </c>
      <c r="K30" s="60">
        <f t="shared" si="0"/>
        <v>0.05</v>
      </c>
      <c r="L30" s="60">
        <f t="shared" si="0"/>
        <v>0.05</v>
      </c>
      <c r="M30" s="60">
        <f t="shared" si="0"/>
        <v>0.05</v>
      </c>
      <c r="N30" s="60">
        <f t="shared" si="0"/>
        <v>0.05</v>
      </c>
      <c r="O30" s="60">
        <f t="shared" si="0"/>
        <v>0.05</v>
      </c>
    </row>
    <row r="31" spans="1:15" ht="15.75" customHeight="1" x14ac:dyDescent="0.25">
      <c r="B31" s="5" t="s">
        <v>173</v>
      </c>
      <c r="C31" s="60">
        <v>0</v>
      </c>
      <c r="D31" s="60">
        <v>0</v>
      </c>
      <c r="E31" s="60">
        <f t="shared" ref="E31:O31" si="1">frac_rice</f>
        <v>0.7</v>
      </c>
      <c r="F31" s="60">
        <f t="shared" si="1"/>
        <v>0.7</v>
      </c>
      <c r="G31" s="60">
        <f t="shared" si="1"/>
        <v>0.7</v>
      </c>
      <c r="H31" s="60">
        <f t="shared" si="1"/>
        <v>0.7</v>
      </c>
      <c r="I31" s="60">
        <f t="shared" si="1"/>
        <v>0.7</v>
      </c>
      <c r="J31" s="60">
        <f t="shared" si="1"/>
        <v>0.7</v>
      </c>
      <c r="K31" s="60">
        <f t="shared" si="1"/>
        <v>0.7</v>
      </c>
      <c r="L31" s="60">
        <f t="shared" si="1"/>
        <v>0.7</v>
      </c>
      <c r="M31" s="60">
        <f t="shared" si="1"/>
        <v>0.7</v>
      </c>
      <c r="N31" s="60">
        <f t="shared" si="1"/>
        <v>0.7</v>
      </c>
      <c r="O31" s="60">
        <f t="shared" si="1"/>
        <v>0.7</v>
      </c>
    </row>
    <row r="32" spans="1:15" ht="15.75" customHeight="1" x14ac:dyDescent="0.25">
      <c r="B32" s="5" t="s">
        <v>174</v>
      </c>
      <c r="C32" s="60">
        <v>0</v>
      </c>
      <c r="D32" s="60">
        <v>0</v>
      </c>
      <c r="E32" s="60">
        <f t="shared" ref="E32:O32" si="2">frac_wheat</f>
        <v>0.05</v>
      </c>
      <c r="F32" s="60">
        <f t="shared" si="2"/>
        <v>0.05</v>
      </c>
      <c r="G32" s="60">
        <f t="shared" si="2"/>
        <v>0.05</v>
      </c>
      <c r="H32" s="60">
        <f t="shared" si="2"/>
        <v>0.05</v>
      </c>
      <c r="I32" s="60">
        <f t="shared" si="2"/>
        <v>0.05</v>
      </c>
      <c r="J32" s="60">
        <f t="shared" si="2"/>
        <v>0.05</v>
      </c>
      <c r="K32" s="60">
        <f t="shared" si="2"/>
        <v>0.05</v>
      </c>
      <c r="L32" s="60">
        <f t="shared" si="2"/>
        <v>0.05</v>
      </c>
      <c r="M32" s="60">
        <f t="shared" si="2"/>
        <v>0.05</v>
      </c>
      <c r="N32" s="60">
        <f t="shared" si="2"/>
        <v>0.05</v>
      </c>
      <c r="O32" s="60">
        <f t="shared" si="2"/>
        <v>0.05</v>
      </c>
    </row>
    <row r="33" spans="2:15" ht="15.75" customHeight="1" x14ac:dyDescent="0.25">
      <c r="B33" s="5" t="s">
        <v>182</v>
      </c>
      <c r="C33" s="60">
        <v>0</v>
      </c>
      <c r="D33" s="60">
        <v>0</v>
      </c>
      <c r="E33" s="60">
        <v>1</v>
      </c>
      <c r="F33" s="60">
        <v>1</v>
      </c>
      <c r="G33" s="60">
        <v>1</v>
      </c>
      <c r="H33" s="60">
        <v>1</v>
      </c>
      <c r="I33" s="60">
        <v>1</v>
      </c>
      <c r="J33" s="60">
        <v>1</v>
      </c>
      <c r="K33" s="60">
        <v>1</v>
      </c>
      <c r="L33" s="60">
        <v>1</v>
      </c>
      <c r="M33" s="60">
        <v>1</v>
      </c>
      <c r="N33" s="60">
        <v>1</v>
      </c>
      <c r="O33" s="60">
        <v>1</v>
      </c>
    </row>
    <row r="34" spans="2:15" ht="15.75" customHeight="1" x14ac:dyDescent="0.25">
      <c r="B34" s="5" t="s">
        <v>185</v>
      </c>
      <c r="C34" s="60">
        <f t="shared" ref="C34:O34" si="3">frac_malaria_risk</f>
        <v>0.01</v>
      </c>
      <c r="D34" s="60">
        <f t="shared" si="3"/>
        <v>0.01</v>
      </c>
      <c r="E34" s="60">
        <f t="shared" si="3"/>
        <v>0.01</v>
      </c>
      <c r="F34" s="60">
        <f t="shared" si="3"/>
        <v>0.01</v>
      </c>
      <c r="G34" s="60">
        <f t="shared" si="3"/>
        <v>0.01</v>
      </c>
      <c r="H34" s="60">
        <f t="shared" si="3"/>
        <v>0.01</v>
      </c>
      <c r="I34" s="60">
        <f t="shared" si="3"/>
        <v>0.01</v>
      </c>
      <c r="J34" s="60">
        <f t="shared" si="3"/>
        <v>0.01</v>
      </c>
      <c r="K34" s="60">
        <f t="shared" si="3"/>
        <v>0.01</v>
      </c>
      <c r="L34" s="60">
        <f t="shared" si="3"/>
        <v>0.01</v>
      </c>
      <c r="M34" s="60">
        <f t="shared" si="3"/>
        <v>0.01</v>
      </c>
      <c r="N34" s="60">
        <f t="shared" si="3"/>
        <v>0.01</v>
      </c>
      <c r="O34" s="60">
        <f t="shared" si="3"/>
        <v>0.01</v>
      </c>
    </row>
    <row r="35" spans="2:15" ht="15.75" customHeight="1" x14ac:dyDescent="0.25">
      <c r="B35" s="9" t="s">
        <v>194</v>
      </c>
      <c r="C35" s="60">
        <v>1</v>
      </c>
      <c r="D35" s="60">
        <v>1</v>
      </c>
      <c r="E35" s="60">
        <v>1</v>
      </c>
      <c r="F35" s="60">
        <v>1</v>
      </c>
      <c r="G35" s="60">
        <v>1</v>
      </c>
      <c r="H35" s="60">
        <v>1</v>
      </c>
      <c r="I35" s="60">
        <v>1</v>
      </c>
      <c r="J35" s="60">
        <v>1</v>
      </c>
      <c r="K35" s="60">
        <v>1</v>
      </c>
      <c r="L35" s="60">
        <v>1</v>
      </c>
      <c r="M35" s="60">
        <v>1</v>
      </c>
      <c r="N35" s="60">
        <v>1</v>
      </c>
      <c r="O35" s="60">
        <v>1</v>
      </c>
    </row>
    <row r="36" spans="2:15" ht="15.75" customHeight="1" x14ac:dyDescent="0.25">
      <c r="B36" s="9" t="s">
        <v>195</v>
      </c>
      <c r="C36" s="60">
        <v>1</v>
      </c>
      <c r="D36" s="60">
        <v>1</v>
      </c>
      <c r="E36" s="60">
        <v>1</v>
      </c>
      <c r="F36" s="60">
        <v>1</v>
      </c>
      <c r="G36" s="60">
        <v>1</v>
      </c>
      <c r="H36" s="60">
        <v>1</v>
      </c>
      <c r="I36" s="60">
        <v>1</v>
      </c>
      <c r="J36" s="60">
        <v>1</v>
      </c>
      <c r="K36" s="60">
        <v>1</v>
      </c>
      <c r="L36" s="60">
        <v>1</v>
      </c>
      <c r="M36" s="60">
        <v>1</v>
      </c>
      <c r="N36" s="60">
        <v>1</v>
      </c>
      <c r="O36" s="60">
        <v>1</v>
      </c>
    </row>
    <row r="37" spans="2:15" ht="15.75" customHeight="1" x14ac:dyDescent="0.25">
      <c r="B37" s="9" t="s">
        <v>196</v>
      </c>
      <c r="C37" s="60">
        <v>1</v>
      </c>
      <c r="D37" s="60">
        <v>1</v>
      </c>
      <c r="E37" s="60">
        <v>1</v>
      </c>
      <c r="F37" s="60">
        <v>1</v>
      </c>
      <c r="G37" s="60">
        <v>1</v>
      </c>
      <c r="H37" s="60">
        <v>1</v>
      </c>
      <c r="I37" s="60">
        <v>1</v>
      </c>
      <c r="J37" s="60">
        <v>1</v>
      </c>
      <c r="K37" s="60">
        <v>1</v>
      </c>
      <c r="L37" s="60">
        <v>1</v>
      </c>
      <c r="M37" s="60">
        <v>1</v>
      </c>
      <c r="N37" s="60">
        <v>1</v>
      </c>
      <c r="O37" s="60">
        <v>1</v>
      </c>
    </row>
    <row r="38" spans="2:15" ht="15.75" customHeight="1" x14ac:dyDescent="0.25">
      <c r="B38" s="9" t="s">
        <v>197</v>
      </c>
      <c r="C38" s="60">
        <v>1</v>
      </c>
      <c r="D38" s="60">
        <v>1</v>
      </c>
      <c r="E38" s="60">
        <v>1</v>
      </c>
      <c r="F38" s="60">
        <v>1</v>
      </c>
      <c r="G38" s="60">
        <v>1</v>
      </c>
      <c r="H38" s="60">
        <v>1</v>
      </c>
      <c r="I38" s="60">
        <v>1</v>
      </c>
      <c r="J38" s="60">
        <v>1</v>
      </c>
      <c r="K38" s="60">
        <v>1</v>
      </c>
      <c r="L38" s="60">
        <v>1</v>
      </c>
      <c r="M38" s="60">
        <v>1</v>
      </c>
      <c r="N38" s="60">
        <v>1</v>
      </c>
      <c r="O38" s="60">
        <v>1</v>
      </c>
    </row>
    <row r="39" spans="2:15" ht="15.75" customHeight="1" x14ac:dyDescent="0.25">
      <c r="B39" s="9" t="s">
        <v>198</v>
      </c>
      <c r="C39" s="60">
        <v>1</v>
      </c>
      <c r="D39" s="60">
        <v>1</v>
      </c>
      <c r="E39" s="60">
        <v>1</v>
      </c>
      <c r="F39" s="60">
        <v>1</v>
      </c>
      <c r="G39" s="60">
        <v>1</v>
      </c>
      <c r="H39" s="60">
        <v>1</v>
      </c>
      <c r="I39" s="60">
        <v>1</v>
      </c>
      <c r="J39" s="60">
        <v>1</v>
      </c>
      <c r="K39" s="60">
        <v>1</v>
      </c>
      <c r="L39" s="60">
        <v>1</v>
      </c>
      <c r="M39" s="60">
        <v>1</v>
      </c>
      <c r="N39" s="60">
        <v>1</v>
      </c>
      <c r="O39" s="60">
        <v>1</v>
      </c>
    </row>
    <row r="40" spans="2:15" ht="15.75" customHeight="1" x14ac:dyDescent="0.25">
      <c r="B40" s="9"/>
    </row>
  </sheetData>
  <sheetProtection algorithmName="SHA-512" hashValue="c/rGyVZgGkhUAqOYeQhEdKJohJnZwMlPtVcOZvPWAG/LEg5Gne9k7nZtnui0huHfripADE6dYtqDmtQbZr0eCA==" saltValue="B8YmPLaFBUBxrPCcmxl/Fg==" spinCount="100000" sheet="1" selectLockedCell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53125" defaultRowHeight="12.5" x14ac:dyDescent="0.25"/>
  <sheetData>
    <row r="1" spans="1:1" x14ac:dyDescent="0.25">
      <c r="A1" s="8" t="s">
        <v>167</v>
      </c>
    </row>
    <row r="2" spans="1:1" x14ac:dyDescent="0.25">
      <c r="A2" s="8" t="s">
        <v>209</v>
      </c>
    </row>
    <row r="3" spans="1:1" x14ac:dyDescent="0.25">
      <c r="A3" s="8" t="s">
        <v>210</v>
      </c>
    </row>
    <row r="4" spans="1:1" x14ac:dyDescent="0.25">
      <c r="A4" s="8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A3" sqref="A3"/>
    </sheetView>
  </sheetViews>
  <sheetFormatPr defaultColWidth="11.453125" defaultRowHeight="12.5" x14ac:dyDescent="0.25"/>
  <cols>
    <col min="1" max="1" width="33.6328125" style="8" customWidth="1"/>
    <col min="2" max="2" width="12.453125" style="8" customWidth="1"/>
    <col min="3" max="4" width="11.453125" style="8" customWidth="1"/>
    <col min="5" max="5" width="17.453125" style="8" customWidth="1"/>
    <col min="6" max="6" width="11.453125" style="8" customWidth="1"/>
    <col min="7" max="16384" width="11.453125" style="8"/>
  </cols>
  <sheetData>
    <row r="1" spans="1:5" ht="13" customHeight="1" x14ac:dyDescent="0.3">
      <c r="A1" s="4" t="s">
        <v>212</v>
      </c>
      <c r="B1" s="4" t="s">
        <v>213</v>
      </c>
      <c r="C1" s="4" t="s">
        <v>214</v>
      </c>
      <c r="D1" s="4" t="s">
        <v>136</v>
      </c>
      <c r="E1" s="4" t="s">
        <v>215</v>
      </c>
    </row>
    <row r="2" spans="1:5" ht="14" customHeight="1" x14ac:dyDescent="0.3">
      <c r="A2" s="28" t="s">
        <v>216</v>
      </c>
      <c r="B2" s="28">
        <v>0.9</v>
      </c>
      <c r="C2" s="8">
        <v>0.09</v>
      </c>
      <c r="D2" s="8">
        <v>0.8</v>
      </c>
      <c r="E2" s="8">
        <f t="shared" ref="E2:E10" si="0">C2*D2</f>
        <v>7.1999999999999995E-2</v>
      </c>
    </row>
    <row r="3" spans="1:5" ht="14" customHeight="1" x14ac:dyDescent="0.3">
      <c r="A3" s="28" t="s">
        <v>217</v>
      </c>
      <c r="B3" s="28">
        <v>1</v>
      </c>
      <c r="C3" s="8">
        <v>0.02</v>
      </c>
      <c r="D3" s="8">
        <v>1.9</v>
      </c>
      <c r="E3" s="8">
        <f t="shared" si="0"/>
        <v>3.7999999999999999E-2</v>
      </c>
    </row>
    <row r="4" spans="1:5" ht="14" customHeight="1" x14ac:dyDescent="0.3">
      <c r="A4" s="28" t="s">
        <v>218</v>
      </c>
      <c r="B4" s="28">
        <v>1</v>
      </c>
      <c r="C4" s="8">
        <v>0.08</v>
      </c>
      <c r="D4" s="8">
        <v>2</v>
      </c>
      <c r="E4" s="8">
        <f t="shared" si="0"/>
        <v>0.16</v>
      </c>
    </row>
    <row r="5" spans="1:5" ht="14" customHeight="1" x14ac:dyDescent="0.3">
      <c r="A5" s="28" t="s">
        <v>219</v>
      </c>
      <c r="B5" s="28">
        <v>1</v>
      </c>
      <c r="C5" s="8">
        <v>0.18</v>
      </c>
      <c r="D5" s="8">
        <v>0.7</v>
      </c>
      <c r="E5" s="8">
        <f t="shared" si="0"/>
        <v>0.126</v>
      </c>
    </row>
    <row r="6" spans="1:5" ht="14" customHeight="1" x14ac:dyDescent="0.3">
      <c r="A6" s="28" t="s">
        <v>220</v>
      </c>
      <c r="B6" s="28">
        <v>1</v>
      </c>
      <c r="C6" s="8">
        <v>0.02</v>
      </c>
      <c r="D6" s="8">
        <v>0.7</v>
      </c>
      <c r="E6" s="8">
        <f t="shared" si="0"/>
        <v>1.3999999999999999E-2</v>
      </c>
    </row>
    <row r="7" spans="1:5" ht="14" customHeight="1" x14ac:dyDescent="0.3">
      <c r="A7" s="28" t="s">
        <v>221</v>
      </c>
      <c r="B7" s="28">
        <v>0.93</v>
      </c>
      <c r="C7" s="8">
        <v>0.45</v>
      </c>
      <c r="D7" s="8">
        <v>0.9</v>
      </c>
      <c r="E7" s="8">
        <f t="shared" si="0"/>
        <v>0.40500000000000003</v>
      </c>
    </row>
    <row r="8" spans="1:5" ht="14" customHeight="1" x14ac:dyDescent="0.3">
      <c r="A8" s="28" t="s">
        <v>222</v>
      </c>
      <c r="B8" s="28">
        <v>0.5</v>
      </c>
      <c r="C8" s="8">
        <v>0.03</v>
      </c>
      <c r="D8" s="8">
        <v>0</v>
      </c>
      <c r="E8" s="8">
        <f t="shared" si="0"/>
        <v>0</v>
      </c>
    </row>
    <row r="9" spans="1:5" ht="14" customHeight="1" x14ac:dyDescent="0.3">
      <c r="A9" s="28" t="s">
        <v>223</v>
      </c>
      <c r="B9" s="28">
        <v>0.5</v>
      </c>
      <c r="C9" s="8">
        <v>0.11</v>
      </c>
      <c r="D9" s="8">
        <v>0</v>
      </c>
      <c r="E9" s="8">
        <f t="shared" si="0"/>
        <v>0</v>
      </c>
    </row>
    <row r="10" spans="1:5" ht="14" customHeight="1" x14ac:dyDescent="0.3">
      <c r="A10" s="28" t="s">
        <v>224</v>
      </c>
      <c r="B10" s="28">
        <v>0.98</v>
      </c>
      <c r="C10" s="8">
        <v>0.01</v>
      </c>
      <c r="D10" s="8">
        <v>0.6</v>
      </c>
      <c r="E10" s="8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H1" workbookViewId="0">
      <selection activeCell="C8" sqref="C8"/>
    </sheetView>
  </sheetViews>
  <sheetFormatPr defaultColWidth="16.08984375" defaultRowHeight="15.75" customHeight="1" x14ac:dyDescent="0.35"/>
  <cols>
    <col min="1" max="1" width="22.1796875" style="37" bestFit="1" customWidth="1"/>
    <col min="2" max="2" width="58.90625" style="37" bestFit="1" customWidth="1"/>
    <col min="3" max="3" width="9.453125" style="37" bestFit="1" customWidth="1"/>
    <col min="4" max="4" width="11.08984375" style="37" bestFit="1" customWidth="1"/>
    <col min="5" max="5" width="12" style="37" bestFit="1" customWidth="1"/>
    <col min="6" max="7" width="13.08984375" style="37" bestFit="1" customWidth="1"/>
    <col min="8" max="11" width="15.36328125" style="37" bestFit="1" customWidth="1"/>
    <col min="12" max="15" width="16.90625" style="37" bestFit="1" customWidth="1"/>
    <col min="16" max="16" width="16.08984375" style="37" customWidth="1"/>
    <col min="17" max="16384" width="16.08984375" style="37"/>
  </cols>
  <sheetData>
    <row r="1" spans="1:15" ht="15.75" customHeight="1" x14ac:dyDescent="0.35">
      <c r="A1" s="4" t="s">
        <v>206</v>
      </c>
      <c r="B1" s="1" t="s">
        <v>156</v>
      </c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  <c r="H1" s="4" t="s">
        <v>112</v>
      </c>
      <c r="I1" s="4" t="s">
        <v>113</v>
      </c>
      <c r="J1" s="4" t="s">
        <v>114</v>
      </c>
      <c r="K1" s="4" t="s">
        <v>115</v>
      </c>
      <c r="L1" s="4" t="s">
        <v>58</v>
      </c>
      <c r="M1" s="4" t="s">
        <v>59</v>
      </c>
      <c r="N1" s="4" t="s">
        <v>60</v>
      </c>
      <c r="O1" s="4" t="s">
        <v>61</v>
      </c>
    </row>
    <row r="2" spans="1:15" ht="15.75" customHeight="1" x14ac:dyDescent="0.35">
      <c r="A2" s="4" t="s">
        <v>76</v>
      </c>
      <c r="B2" s="5" t="s">
        <v>169</v>
      </c>
      <c r="C2" s="87">
        <v>0</v>
      </c>
      <c r="D2" s="87">
        <v>1</v>
      </c>
      <c r="E2" s="87">
        <v>1</v>
      </c>
      <c r="F2" s="87">
        <v>1</v>
      </c>
      <c r="G2" s="87">
        <v>1</v>
      </c>
      <c r="H2" s="87">
        <v>0</v>
      </c>
      <c r="I2" s="87">
        <v>0</v>
      </c>
      <c r="J2" s="87">
        <v>0</v>
      </c>
      <c r="K2" s="87">
        <v>0</v>
      </c>
      <c r="L2" s="87">
        <v>0</v>
      </c>
      <c r="M2" s="87">
        <v>0</v>
      </c>
      <c r="N2" s="87">
        <v>0</v>
      </c>
      <c r="O2" s="87">
        <v>0</v>
      </c>
    </row>
    <row r="3" spans="1:15" ht="15.75" customHeight="1" x14ac:dyDescent="0.35">
      <c r="B3" s="5" t="s">
        <v>170</v>
      </c>
      <c r="C3" s="87">
        <v>1</v>
      </c>
      <c r="D3" s="87">
        <v>1</v>
      </c>
      <c r="E3" s="87">
        <v>0</v>
      </c>
      <c r="F3" s="87">
        <v>0</v>
      </c>
      <c r="G3" s="87">
        <v>0</v>
      </c>
      <c r="H3" s="87">
        <v>0</v>
      </c>
      <c r="I3" s="87">
        <v>0</v>
      </c>
      <c r="J3" s="87">
        <v>0</v>
      </c>
      <c r="K3" s="87">
        <v>0</v>
      </c>
      <c r="L3" s="87">
        <v>0</v>
      </c>
      <c r="M3" s="87">
        <v>0</v>
      </c>
      <c r="N3" s="87">
        <v>0</v>
      </c>
      <c r="O3" s="87">
        <v>0</v>
      </c>
    </row>
    <row r="4" spans="1:15" ht="15.75" customHeight="1" x14ac:dyDescent="0.35">
      <c r="B4" s="5" t="s">
        <v>148</v>
      </c>
      <c r="C4" s="87">
        <v>1</v>
      </c>
      <c r="D4" s="87">
        <v>1</v>
      </c>
      <c r="E4" s="87">
        <v>1</v>
      </c>
      <c r="F4" s="87">
        <v>1</v>
      </c>
      <c r="G4" s="87">
        <v>1</v>
      </c>
      <c r="H4" s="87">
        <v>0</v>
      </c>
      <c r="I4" s="87">
        <v>0</v>
      </c>
      <c r="J4" s="87">
        <v>0</v>
      </c>
      <c r="K4" s="87">
        <v>0</v>
      </c>
      <c r="L4" s="87">
        <v>0</v>
      </c>
      <c r="M4" s="87">
        <v>0</v>
      </c>
      <c r="N4" s="87">
        <v>0</v>
      </c>
      <c r="O4" s="87">
        <v>0</v>
      </c>
    </row>
    <row r="5" spans="1:15" ht="15.75" customHeight="1" x14ac:dyDescent="0.35">
      <c r="B5" s="5" t="s">
        <v>151</v>
      </c>
      <c r="C5" s="87">
        <v>1</v>
      </c>
      <c r="D5" s="87">
        <v>1</v>
      </c>
      <c r="E5" s="87">
        <v>1</v>
      </c>
      <c r="F5" s="87">
        <v>1</v>
      </c>
      <c r="G5" s="87">
        <v>1</v>
      </c>
      <c r="H5" s="87">
        <v>0</v>
      </c>
      <c r="I5" s="87">
        <v>0</v>
      </c>
      <c r="J5" s="87">
        <v>0</v>
      </c>
      <c r="K5" s="87">
        <v>0</v>
      </c>
      <c r="L5" s="87">
        <v>0</v>
      </c>
      <c r="M5" s="87">
        <v>0</v>
      </c>
      <c r="N5" s="87">
        <v>0</v>
      </c>
      <c r="O5" s="87">
        <v>0</v>
      </c>
    </row>
    <row r="6" spans="1:15" ht="15.75" customHeight="1" x14ac:dyDescent="0.35">
      <c r="B6" s="5" t="s">
        <v>152</v>
      </c>
      <c r="C6" s="87">
        <v>1</v>
      </c>
      <c r="D6" s="87">
        <v>1</v>
      </c>
      <c r="E6" s="87">
        <v>1</v>
      </c>
      <c r="F6" s="87">
        <v>1</v>
      </c>
      <c r="G6" s="87">
        <v>1</v>
      </c>
      <c r="H6" s="87">
        <v>0</v>
      </c>
      <c r="I6" s="87">
        <v>0</v>
      </c>
      <c r="J6" s="87">
        <v>0</v>
      </c>
      <c r="K6" s="87">
        <v>0</v>
      </c>
      <c r="L6" s="87">
        <v>0</v>
      </c>
      <c r="M6" s="87">
        <v>0</v>
      </c>
      <c r="N6" s="87">
        <v>0</v>
      </c>
      <c r="O6" s="87">
        <v>0</v>
      </c>
    </row>
    <row r="7" spans="1:15" ht="15.75" customHeight="1" x14ac:dyDescent="0.35">
      <c r="B7" s="5" t="s">
        <v>183</v>
      </c>
      <c r="C7" s="87">
        <v>1</v>
      </c>
      <c r="D7" s="87">
        <v>1</v>
      </c>
      <c r="E7" s="87">
        <v>0</v>
      </c>
      <c r="F7" s="87">
        <v>0</v>
      </c>
      <c r="G7" s="87">
        <v>0</v>
      </c>
      <c r="H7" s="87">
        <v>0</v>
      </c>
      <c r="I7" s="87">
        <v>0</v>
      </c>
      <c r="J7" s="87">
        <v>0</v>
      </c>
      <c r="K7" s="87">
        <v>0</v>
      </c>
      <c r="L7" s="87">
        <v>0</v>
      </c>
      <c r="M7" s="87">
        <v>0</v>
      </c>
      <c r="N7" s="87">
        <v>0</v>
      </c>
      <c r="O7" s="87">
        <v>0</v>
      </c>
    </row>
    <row r="8" spans="1:15" ht="15.75" customHeight="1" x14ac:dyDescent="0.35">
      <c r="B8" s="5" t="s">
        <v>184</v>
      </c>
      <c r="C8" s="87">
        <v>0</v>
      </c>
      <c r="D8" s="87">
        <v>0</v>
      </c>
      <c r="E8" s="87">
        <v>1</v>
      </c>
      <c r="F8" s="87">
        <v>1</v>
      </c>
      <c r="G8" s="87">
        <v>0</v>
      </c>
      <c r="H8" s="87">
        <v>0</v>
      </c>
      <c r="I8" s="87">
        <v>0</v>
      </c>
      <c r="J8" s="87">
        <v>0</v>
      </c>
      <c r="K8" s="87">
        <v>0</v>
      </c>
      <c r="L8" s="87">
        <v>0</v>
      </c>
      <c r="M8" s="87">
        <v>0</v>
      </c>
      <c r="N8" s="87">
        <v>0</v>
      </c>
      <c r="O8" s="87">
        <v>0</v>
      </c>
    </row>
    <row r="9" spans="1:15" ht="15.75" customHeight="1" x14ac:dyDescent="0.35">
      <c r="B9" s="5" t="s">
        <v>188</v>
      </c>
      <c r="C9" s="87">
        <v>0</v>
      </c>
      <c r="D9" s="87">
        <v>0</v>
      </c>
      <c r="E9" s="87">
        <v>1</v>
      </c>
      <c r="F9" s="87">
        <v>1</v>
      </c>
      <c r="G9" s="87">
        <v>1</v>
      </c>
      <c r="H9" s="87">
        <v>0</v>
      </c>
      <c r="I9" s="87">
        <v>0</v>
      </c>
      <c r="J9" s="87">
        <v>0</v>
      </c>
      <c r="K9" s="87">
        <v>0</v>
      </c>
      <c r="L9" s="87">
        <v>0</v>
      </c>
      <c r="M9" s="87">
        <v>0</v>
      </c>
      <c r="N9" s="87">
        <v>0</v>
      </c>
      <c r="O9" s="87">
        <v>0</v>
      </c>
    </row>
    <row r="10" spans="1:15" ht="15.75" customHeight="1" x14ac:dyDescent="0.35">
      <c r="B10" s="5" t="s">
        <v>190</v>
      </c>
      <c r="C10" s="87">
        <v>1</v>
      </c>
      <c r="D10" s="87">
        <v>1</v>
      </c>
      <c r="E10" s="87">
        <v>1</v>
      </c>
      <c r="F10" s="87">
        <v>1</v>
      </c>
      <c r="G10" s="87">
        <v>1</v>
      </c>
      <c r="H10" s="87">
        <v>0</v>
      </c>
      <c r="I10" s="87">
        <v>0</v>
      </c>
      <c r="J10" s="87">
        <v>0</v>
      </c>
      <c r="K10" s="87">
        <v>0</v>
      </c>
      <c r="L10" s="87">
        <v>0</v>
      </c>
      <c r="M10" s="87">
        <v>0</v>
      </c>
      <c r="N10" s="87">
        <v>0</v>
      </c>
      <c r="O10" s="87">
        <v>0</v>
      </c>
    </row>
    <row r="11" spans="1:15" ht="15.75" customHeight="1" x14ac:dyDescent="0.35">
      <c r="B11" s="5" t="s">
        <v>191</v>
      </c>
      <c r="C11" s="87">
        <v>0</v>
      </c>
      <c r="D11" s="87">
        <v>0</v>
      </c>
      <c r="E11" s="87">
        <v>1</v>
      </c>
      <c r="F11" s="87">
        <v>1</v>
      </c>
      <c r="G11" s="87">
        <v>0</v>
      </c>
      <c r="H11" s="87">
        <v>0</v>
      </c>
      <c r="I11" s="87">
        <v>0</v>
      </c>
      <c r="J11" s="87">
        <v>0</v>
      </c>
      <c r="K11" s="87">
        <v>0</v>
      </c>
      <c r="L11" s="87">
        <v>0</v>
      </c>
      <c r="M11" s="87">
        <v>0</v>
      </c>
      <c r="N11" s="87">
        <v>0</v>
      </c>
      <c r="O11" s="87">
        <v>0</v>
      </c>
    </row>
    <row r="12" spans="1:15" ht="15.75" customHeight="1" x14ac:dyDescent="0.35">
      <c r="B12" s="5" t="s">
        <v>192</v>
      </c>
      <c r="C12" s="87">
        <v>0</v>
      </c>
      <c r="D12" s="87">
        <v>0</v>
      </c>
      <c r="E12" s="87">
        <v>1</v>
      </c>
      <c r="F12" s="87">
        <v>1</v>
      </c>
      <c r="G12" s="87">
        <v>0</v>
      </c>
      <c r="H12" s="87">
        <v>0</v>
      </c>
      <c r="I12" s="87">
        <v>0</v>
      </c>
      <c r="J12" s="87">
        <v>0</v>
      </c>
      <c r="K12" s="87">
        <v>0</v>
      </c>
      <c r="L12" s="87">
        <v>0</v>
      </c>
      <c r="M12" s="87">
        <v>0</v>
      </c>
      <c r="N12" s="87">
        <v>0</v>
      </c>
      <c r="O12" s="87">
        <v>0</v>
      </c>
    </row>
    <row r="13" spans="1:15" ht="15.75" customHeight="1" x14ac:dyDescent="0.35">
      <c r="B13" s="5" t="s">
        <v>157</v>
      </c>
      <c r="C13" s="87">
        <v>0</v>
      </c>
      <c r="D13" s="87">
        <v>1</v>
      </c>
      <c r="E13" s="87">
        <v>1</v>
      </c>
      <c r="F13" s="87">
        <v>1</v>
      </c>
      <c r="G13" s="87">
        <v>1</v>
      </c>
      <c r="H13" s="87">
        <v>0</v>
      </c>
      <c r="I13" s="87">
        <v>0</v>
      </c>
      <c r="J13" s="87">
        <v>0</v>
      </c>
      <c r="K13" s="87">
        <v>0</v>
      </c>
      <c r="L13" s="87">
        <v>0</v>
      </c>
      <c r="M13" s="87">
        <v>0</v>
      </c>
      <c r="N13" s="87">
        <v>0</v>
      </c>
      <c r="O13" s="87">
        <v>0</v>
      </c>
    </row>
    <row r="14" spans="1:15" ht="15.75" customHeight="1" x14ac:dyDescent="0.35">
      <c r="B14" s="5" t="s">
        <v>193</v>
      </c>
      <c r="C14" s="87">
        <v>0</v>
      </c>
      <c r="D14" s="87">
        <v>0</v>
      </c>
      <c r="E14" s="87">
        <v>1</v>
      </c>
      <c r="F14" s="87">
        <v>1</v>
      </c>
      <c r="G14" s="87">
        <v>1</v>
      </c>
      <c r="H14" s="87">
        <v>0</v>
      </c>
      <c r="I14" s="87">
        <v>0</v>
      </c>
      <c r="J14" s="87">
        <v>0</v>
      </c>
      <c r="K14" s="87">
        <v>0</v>
      </c>
      <c r="L14" s="87">
        <v>0</v>
      </c>
      <c r="M14" s="87">
        <v>0</v>
      </c>
      <c r="N14" s="87">
        <v>0</v>
      </c>
      <c r="O14" s="87">
        <v>0</v>
      </c>
    </row>
    <row r="15" spans="1:15" ht="15.75" customHeight="1" x14ac:dyDescent="0.35">
      <c r="B15" s="5" t="s">
        <v>199</v>
      </c>
      <c r="C15" s="87">
        <v>1</v>
      </c>
      <c r="D15" s="87">
        <v>1</v>
      </c>
      <c r="E15" s="87">
        <v>1</v>
      </c>
      <c r="F15" s="87">
        <v>1</v>
      </c>
      <c r="G15" s="87">
        <v>1</v>
      </c>
      <c r="H15" s="87">
        <v>0</v>
      </c>
      <c r="I15" s="87">
        <v>0</v>
      </c>
      <c r="J15" s="87">
        <v>0</v>
      </c>
      <c r="K15" s="87">
        <v>0</v>
      </c>
      <c r="L15" s="87">
        <v>0</v>
      </c>
      <c r="M15" s="87">
        <v>0</v>
      </c>
      <c r="N15" s="87">
        <v>0</v>
      </c>
      <c r="O15" s="87">
        <v>0</v>
      </c>
    </row>
    <row r="16" spans="1:15" ht="15.75" customHeight="1" x14ac:dyDescent="0.35">
      <c r="B16" s="5" t="s">
        <v>200</v>
      </c>
      <c r="C16" s="87">
        <v>0</v>
      </c>
      <c r="D16" s="87">
        <v>0</v>
      </c>
      <c r="E16" s="87">
        <v>1</v>
      </c>
      <c r="F16" s="87">
        <v>1</v>
      </c>
      <c r="G16" s="87">
        <v>1</v>
      </c>
      <c r="H16" s="87">
        <v>0</v>
      </c>
      <c r="I16" s="87">
        <v>0</v>
      </c>
      <c r="J16" s="87">
        <v>0</v>
      </c>
      <c r="K16" s="87">
        <v>0</v>
      </c>
      <c r="L16" s="87">
        <v>0</v>
      </c>
      <c r="M16" s="87">
        <v>0</v>
      </c>
      <c r="N16" s="87">
        <v>0</v>
      </c>
      <c r="O16" s="87">
        <v>0</v>
      </c>
    </row>
    <row r="17" spans="1:16" ht="15.75" customHeight="1" x14ac:dyDescent="0.35">
      <c r="B17" s="5"/>
      <c r="C17" s="84"/>
      <c r="D17" s="84"/>
      <c r="E17" s="84"/>
      <c r="F17" s="84"/>
      <c r="G17" s="84"/>
      <c r="H17" s="84"/>
      <c r="I17" s="84"/>
      <c r="J17" s="84"/>
      <c r="K17" s="84"/>
      <c r="L17" s="84"/>
      <c r="M17" s="84"/>
      <c r="N17" s="84"/>
      <c r="O17" s="84"/>
    </row>
    <row r="18" spans="1:16" ht="15.75" customHeight="1" x14ac:dyDescent="0.35">
      <c r="A18" s="4" t="s">
        <v>90</v>
      </c>
      <c r="B18" s="5" t="s">
        <v>166</v>
      </c>
      <c r="C18" s="87">
        <v>0</v>
      </c>
      <c r="D18" s="87">
        <v>0</v>
      </c>
      <c r="E18" s="87">
        <v>0</v>
      </c>
      <c r="F18" s="87">
        <v>0</v>
      </c>
      <c r="G18" s="87">
        <v>0</v>
      </c>
      <c r="H18" s="87">
        <v>1</v>
      </c>
      <c r="I18" s="87">
        <v>1</v>
      </c>
      <c r="J18" s="87">
        <v>1</v>
      </c>
      <c r="K18" s="87">
        <v>1</v>
      </c>
      <c r="L18" s="87">
        <v>0</v>
      </c>
      <c r="M18" s="87">
        <v>0</v>
      </c>
      <c r="N18" s="87">
        <v>0</v>
      </c>
      <c r="O18" s="87">
        <v>0</v>
      </c>
    </row>
    <row r="19" spans="1:16" ht="15.75" customHeight="1" x14ac:dyDescent="0.35">
      <c r="A19" s="4"/>
      <c r="B19" s="5" t="s">
        <v>168</v>
      </c>
      <c r="C19" s="87">
        <v>0</v>
      </c>
      <c r="D19" s="87">
        <v>0</v>
      </c>
      <c r="E19" s="87">
        <v>0</v>
      </c>
      <c r="F19" s="87">
        <v>0</v>
      </c>
      <c r="G19" s="87">
        <v>0</v>
      </c>
      <c r="H19" s="87">
        <v>1</v>
      </c>
      <c r="I19" s="87">
        <v>1</v>
      </c>
      <c r="J19" s="87">
        <v>1</v>
      </c>
      <c r="K19" s="87">
        <v>1</v>
      </c>
      <c r="L19" s="87">
        <v>0</v>
      </c>
      <c r="M19" s="87">
        <v>0</v>
      </c>
      <c r="N19" s="87">
        <v>0</v>
      </c>
      <c r="O19" s="87">
        <v>0</v>
      </c>
    </row>
    <row r="20" spans="1:16" ht="15.75" customHeight="1" x14ac:dyDescent="0.35">
      <c r="B20" s="5" t="s">
        <v>179</v>
      </c>
      <c r="C20" s="87">
        <v>0</v>
      </c>
      <c r="D20" s="87">
        <v>0</v>
      </c>
      <c r="E20" s="87">
        <v>0</v>
      </c>
      <c r="F20" s="87">
        <v>0</v>
      </c>
      <c r="G20" s="87">
        <v>0</v>
      </c>
      <c r="H20" s="87">
        <v>1</v>
      </c>
      <c r="I20" s="87">
        <v>1</v>
      </c>
      <c r="J20" s="87">
        <v>1</v>
      </c>
      <c r="K20" s="87">
        <v>1</v>
      </c>
      <c r="L20" s="87">
        <v>0</v>
      </c>
      <c r="M20" s="87">
        <v>0</v>
      </c>
      <c r="N20" s="87">
        <v>0</v>
      </c>
      <c r="O20" s="87">
        <v>0</v>
      </c>
    </row>
    <row r="21" spans="1:16" ht="15.75" customHeight="1" x14ac:dyDescent="0.35">
      <c r="B21" s="5" t="s">
        <v>180</v>
      </c>
      <c r="C21" s="87">
        <v>0</v>
      </c>
      <c r="D21" s="87">
        <v>0</v>
      </c>
      <c r="E21" s="87">
        <v>0</v>
      </c>
      <c r="F21" s="87">
        <v>0</v>
      </c>
      <c r="G21" s="87">
        <v>0</v>
      </c>
      <c r="H21" s="87">
        <v>1</v>
      </c>
      <c r="I21" s="87">
        <v>1</v>
      </c>
      <c r="J21" s="87">
        <v>1</v>
      </c>
      <c r="K21" s="87">
        <v>1</v>
      </c>
      <c r="L21" s="87">
        <v>0</v>
      </c>
      <c r="M21" s="87">
        <v>0</v>
      </c>
      <c r="N21" s="87">
        <v>0</v>
      </c>
      <c r="O21" s="87">
        <v>0</v>
      </c>
    </row>
    <row r="22" spans="1:16" ht="15.75" customHeight="1" x14ac:dyDescent="0.35">
      <c r="B22" s="62" t="s">
        <v>181</v>
      </c>
      <c r="C22" s="87">
        <v>0</v>
      </c>
      <c r="D22" s="87">
        <v>0</v>
      </c>
      <c r="E22" s="87">
        <v>0</v>
      </c>
      <c r="F22" s="87">
        <v>0</v>
      </c>
      <c r="G22" s="87">
        <v>0</v>
      </c>
      <c r="H22" s="87">
        <v>1</v>
      </c>
      <c r="I22" s="87">
        <v>1</v>
      </c>
      <c r="J22" s="87">
        <v>1</v>
      </c>
      <c r="K22" s="87">
        <v>1</v>
      </c>
      <c r="L22" s="87">
        <v>0</v>
      </c>
      <c r="M22" s="87">
        <v>0</v>
      </c>
      <c r="N22" s="87">
        <v>0</v>
      </c>
      <c r="O22" s="87">
        <v>0</v>
      </c>
    </row>
    <row r="23" spans="1:16" ht="15.75" customHeight="1" x14ac:dyDescent="0.35">
      <c r="B23" s="5" t="s">
        <v>186</v>
      </c>
      <c r="C23" s="87">
        <v>0</v>
      </c>
      <c r="D23" s="87">
        <v>0</v>
      </c>
      <c r="E23" s="87">
        <v>0</v>
      </c>
      <c r="F23" s="87">
        <v>0</v>
      </c>
      <c r="G23" s="87">
        <v>0</v>
      </c>
      <c r="H23" s="87">
        <v>1</v>
      </c>
      <c r="I23" s="87">
        <v>1</v>
      </c>
      <c r="J23" s="87">
        <v>1</v>
      </c>
      <c r="K23" s="87">
        <v>1</v>
      </c>
      <c r="L23" s="87">
        <v>0</v>
      </c>
      <c r="M23" s="87">
        <v>0</v>
      </c>
      <c r="N23" s="87">
        <v>0</v>
      </c>
      <c r="O23" s="87">
        <v>0</v>
      </c>
    </row>
    <row r="24" spans="1:16" ht="15.75" customHeight="1" x14ac:dyDescent="0.35">
      <c r="B24" s="5" t="s">
        <v>187</v>
      </c>
      <c r="C24" s="87">
        <v>0</v>
      </c>
      <c r="D24" s="87">
        <v>0</v>
      </c>
      <c r="E24" s="87">
        <v>0</v>
      </c>
      <c r="F24" s="87">
        <v>0</v>
      </c>
      <c r="G24" s="87">
        <v>0</v>
      </c>
      <c r="H24" s="87">
        <v>1</v>
      </c>
      <c r="I24" s="87">
        <v>1</v>
      </c>
      <c r="J24" s="87">
        <v>1</v>
      </c>
      <c r="K24" s="87">
        <v>1</v>
      </c>
      <c r="L24" s="87">
        <v>0</v>
      </c>
      <c r="M24" s="87">
        <v>0</v>
      </c>
      <c r="N24" s="87">
        <v>0</v>
      </c>
      <c r="O24" s="87">
        <v>0</v>
      </c>
    </row>
    <row r="25" spans="1:16" ht="15.75" customHeight="1" x14ac:dyDescent="0.35">
      <c r="B25" s="5" t="s">
        <v>189</v>
      </c>
      <c r="C25" s="87">
        <v>0</v>
      </c>
      <c r="D25" s="87">
        <v>0</v>
      </c>
      <c r="E25" s="87">
        <v>0</v>
      </c>
      <c r="F25" s="87">
        <v>0</v>
      </c>
      <c r="G25" s="87">
        <v>0</v>
      </c>
      <c r="H25" s="87">
        <v>1</v>
      </c>
      <c r="I25" s="87">
        <v>1</v>
      </c>
      <c r="J25" s="87">
        <v>1</v>
      </c>
      <c r="K25" s="87">
        <v>1</v>
      </c>
      <c r="L25" s="87">
        <v>0</v>
      </c>
      <c r="M25" s="87">
        <v>0</v>
      </c>
      <c r="N25" s="87">
        <v>0</v>
      </c>
      <c r="O25" s="87">
        <v>0</v>
      </c>
    </row>
    <row r="26" spans="1:16" ht="15.75" customHeight="1" x14ac:dyDescent="0.35">
      <c r="B26" s="5"/>
      <c r="C26" s="84"/>
      <c r="D26" s="84"/>
      <c r="E26" s="84"/>
      <c r="F26" s="84"/>
      <c r="G26" s="84"/>
      <c r="H26" s="84"/>
      <c r="I26" s="84"/>
      <c r="J26" s="84"/>
      <c r="K26" s="84"/>
      <c r="L26" s="84"/>
      <c r="M26" s="84"/>
      <c r="N26" s="84"/>
      <c r="O26" s="84"/>
    </row>
    <row r="27" spans="1:16" ht="16" customHeight="1" x14ac:dyDescent="0.35">
      <c r="A27" s="4" t="s">
        <v>207</v>
      </c>
      <c r="B27" s="5" t="s">
        <v>171</v>
      </c>
      <c r="C27" s="87">
        <v>0</v>
      </c>
      <c r="D27" s="87">
        <v>0</v>
      </c>
      <c r="E27" s="87">
        <v>0</v>
      </c>
      <c r="F27" s="87">
        <v>0</v>
      </c>
      <c r="G27" s="87">
        <v>0</v>
      </c>
      <c r="H27" s="87">
        <v>0</v>
      </c>
      <c r="I27" s="87">
        <v>0</v>
      </c>
      <c r="J27" s="87">
        <v>0</v>
      </c>
      <c r="K27" s="87">
        <v>0</v>
      </c>
      <c r="L27" s="87">
        <v>1</v>
      </c>
      <c r="M27" s="87">
        <v>0</v>
      </c>
      <c r="N27" s="87">
        <v>0</v>
      </c>
      <c r="O27" s="87">
        <v>0</v>
      </c>
      <c r="P27" s="63"/>
    </row>
    <row r="28" spans="1:16" ht="15.75" customHeight="1" x14ac:dyDescent="0.35">
      <c r="B28" s="11" t="s">
        <v>175</v>
      </c>
      <c r="C28" s="87">
        <v>0</v>
      </c>
      <c r="D28" s="87">
        <v>0</v>
      </c>
      <c r="E28" s="87">
        <v>0</v>
      </c>
      <c r="F28" s="87">
        <v>0</v>
      </c>
      <c r="G28" s="87">
        <v>0</v>
      </c>
      <c r="H28" s="87">
        <v>0</v>
      </c>
      <c r="I28" s="87">
        <v>0</v>
      </c>
      <c r="J28" s="87">
        <v>0</v>
      </c>
      <c r="K28" s="87">
        <v>0</v>
      </c>
      <c r="L28" s="87">
        <v>1</v>
      </c>
      <c r="M28" s="87">
        <v>1</v>
      </c>
      <c r="N28" s="87">
        <v>1</v>
      </c>
      <c r="O28" s="87">
        <v>1</v>
      </c>
    </row>
    <row r="29" spans="1:16" ht="15.75" customHeight="1" x14ac:dyDescent="0.35">
      <c r="A29" s="4"/>
      <c r="B29" s="11" t="s">
        <v>176</v>
      </c>
      <c r="C29" s="87">
        <v>0</v>
      </c>
      <c r="D29" s="87">
        <v>0</v>
      </c>
      <c r="E29" s="87">
        <v>0</v>
      </c>
      <c r="F29" s="87">
        <v>0</v>
      </c>
      <c r="G29" s="87">
        <v>0</v>
      </c>
      <c r="H29" s="87">
        <v>0</v>
      </c>
      <c r="I29" s="87">
        <v>0</v>
      </c>
      <c r="J29" s="87">
        <v>0</v>
      </c>
      <c r="K29" s="87">
        <v>0</v>
      </c>
      <c r="L29" s="87">
        <v>1</v>
      </c>
      <c r="M29" s="87">
        <v>1</v>
      </c>
      <c r="N29" s="87">
        <v>1</v>
      </c>
      <c r="O29" s="87">
        <v>1</v>
      </c>
    </row>
    <row r="30" spans="1:16" ht="15.75" customHeight="1" x14ac:dyDescent="0.35">
      <c r="B30" s="11" t="s">
        <v>177</v>
      </c>
      <c r="C30" s="87">
        <v>0</v>
      </c>
      <c r="D30" s="87">
        <v>0</v>
      </c>
      <c r="E30" s="87">
        <v>0</v>
      </c>
      <c r="F30" s="87">
        <v>0</v>
      </c>
      <c r="G30" s="87">
        <v>0</v>
      </c>
      <c r="H30" s="87">
        <v>0</v>
      </c>
      <c r="I30" s="87">
        <v>0</v>
      </c>
      <c r="J30" s="87">
        <v>0</v>
      </c>
      <c r="K30" s="87">
        <v>0</v>
      </c>
      <c r="L30" s="87">
        <v>1</v>
      </c>
      <c r="M30" s="87">
        <v>1</v>
      </c>
      <c r="N30" s="87">
        <v>1</v>
      </c>
      <c r="O30" s="87">
        <v>1</v>
      </c>
    </row>
    <row r="31" spans="1:16" ht="15.75" customHeight="1" x14ac:dyDescent="0.35">
      <c r="B31" s="11" t="s">
        <v>178</v>
      </c>
      <c r="C31" s="87">
        <v>0</v>
      </c>
      <c r="D31" s="87">
        <v>0</v>
      </c>
      <c r="E31" s="87">
        <v>0</v>
      </c>
      <c r="F31" s="87">
        <v>0</v>
      </c>
      <c r="G31" s="87">
        <v>0</v>
      </c>
      <c r="H31" s="87">
        <v>0</v>
      </c>
      <c r="I31" s="87">
        <v>0</v>
      </c>
      <c r="J31" s="87">
        <v>0</v>
      </c>
      <c r="K31" s="87">
        <v>0</v>
      </c>
      <c r="L31" s="87">
        <v>1</v>
      </c>
      <c r="M31" s="87">
        <v>0</v>
      </c>
      <c r="N31" s="87">
        <v>0</v>
      </c>
      <c r="O31" s="87">
        <v>0</v>
      </c>
    </row>
    <row r="32" spans="1:16" ht="15.75" customHeight="1" x14ac:dyDescent="0.35">
      <c r="B32" s="5"/>
      <c r="C32" s="85"/>
      <c r="D32" s="85"/>
      <c r="E32" s="85"/>
      <c r="F32" s="85"/>
      <c r="G32" s="85"/>
      <c r="H32" s="85"/>
      <c r="I32" s="85"/>
      <c r="J32" s="84"/>
      <c r="K32" s="84"/>
      <c r="L32" s="84"/>
      <c r="M32" s="84"/>
      <c r="N32" s="84"/>
      <c r="O32" s="84"/>
    </row>
    <row r="33" spans="1:15" ht="15.75" customHeight="1" x14ac:dyDescent="0.35">
      <c r="A33" s="4" t="s">
        <v>208</v>
      </c>
      <c r="B33" s="5" t="s">
        <v>172</v>
      </c>
      <c r="C33" s="87">
        <v>1</v>
      </c>
      <c r="D33" s="87">
        <v>0</v>
      </c>
      <c r="E33" s="87">
        <v>1</v>
      </c>
      <c r="F33" s="87">
        <v>1</v>
      </c>
      <c r="G33" s="87">
        <v>1</v>
      </c>
      <c r="H33" s="87">
        <v>1</v>
      </c>
      <c r="I33" s="87">
        <v>1</v>
      </c>
      <c r="J33" s="87">
        <v>1</v>
      </c>
      <c r="K33" s="87">
        <v>1</v>
      </c>
      <c r="L33" s="87">
        <v>1</v>
      </c>
      <c r="M33" s="87">
        <v>1</v>
      </c>
      <c r="N33" s="87">
        <v>1</v>
      </c>
      <c r="O33" s="87">
        <v>1</v>
      </c>
    </row>
    <row r="34" spans="1:15" ht="15.75" customHeight="1" x14ac:dyDescent="0.35">
      <c r="B34" s="5" t="s">
        <v>173</v>
      </c>
      <c r="C34" s="87">
        <v>1</v>
      </c>
      <c r="D34" s="87">
        <v>0</v>
      </c>
      <c r="E34" s="87">
        <v>1</v>
      </c>
      <c r="F34" s="87">
        <v>1</v>
      </c>
      <c r="G34" s="87">
        <v>1</v>
      </c>
      <c r="H34" s="87">
        <v>1</v>
      </c>
      <c r="I34" s="87">
        <v>1</v>
      </c>
      <c r="J34" s="87">
        <v>1</v>
      </c>
      <c r="K34" s="87">
        <v>1</v>
      </c>
      <c r="L34" s="87">
        <v>1</v>
      </c>
      <c r="M34" s="87">
        <v>1</v>
      </c>
      <c r="N34" s="87">
        <v>1</v>
      </c>
      <c r="O34" s="87">
        <v>1</v>
      </c>
    </row>
    <row r="35" spans="1:15" ht="15.75" customHeight="1" x14ac:dyDescent="0.35">
      <c r="B35" s="5" t="s">
        <v>174</v>
      </c>
      <c r="C35" s="87">
        <v>1</v>
      </c>
      <c r="D35" s="87">
        <v>0</v>
      </c>
      <c r="E35" s="87">
        <v>1</v>
      </c>
      <c r="F35" s="87">
        <v>1</v>
      </c>
      <c r="G35" s="87">
        <v>1</v>
      </c>
      <c r="H35" s="87">
        <v>1</v>
      </c>
      <c r="I35" s="87">
        <v>1</v>
      </c>
      <c r="J35" s="87">
        <v>1</v>
      </c>
      <c r="K35" s="87">
        <v>1</v>
      </c>
      <c r="L35" s="87">
        <v>1</v>
      </c>
      <c r="M35" s="87">
        <v>1</v>
      </c>
      <c r="N35" s="87">
        <v>1</v>
      </c>
      <c r="O35" s="87">
        <v>1</v>
      </c>
    </row>
    <row r="36" spans="1:15" ht="15.75" customHeight="1" x14ac:dyDescent="0.35">
      <c r="B36" s="5" t="s">
        <v>182</v>
      </c>
      <c r="C36" s="87">
        <v>1</v>
      </c>
      <c r="D36" s="87">
        <v>0</v>
      </c>
      <c r="E36" s="87">
        <v>1</v>
      </c>
      <c r="F36" s="87">
        <v>1</v>
      </c>
      <c r="G36" s="87">
        <v>1</v>
      </c>
      <c r="H36" s="87">
        <v>1</v>
      </c>
      <c r="I36" s="87">
        <v>1</v>
      </c>
      <c r="J36" s="87">
        <v>1</v>
      </c>
      <c r="K36" s="87">
        <v>1</v>
      </c>
      <c r="L36" s="87">
        <v>1</v>
      </c>
      <c r="M36" s="87">
        <v>1</v>
      </c>
      <c r="N36" s="87">
        <v>1</v>
      </c>
      <c r="O36" s="87">
        <v>1</v>
      </c>
    </row>
    <row r="37" spans="1:15" ht="15.75" customHeight="1" x14ac:dyDescent="0.35">
      <c r="B37" s="5" t="s">
        <v>185</v>
      </c>
      <c r="C37" s="87">
        <v>1</v>
      </c>
      <c r="D37" s="87">
        <v>1</v>
      </c>
      <c r="E37" s="87">
        <v>1</v>
      </c>
      <c r="F37" s="87">
        <v>1</v>
      </c>
      <c r="G37" s="87">
        <v>1</v>
      </c>
      <c r="H37" s="87">
        <v>1</v>
      </c>
      <c r="I37" s="87">
        <v>1</v>
      </c>
      <c r="J37" s="87">
        <v>1</v>
      </c>
      <c r="K37" s="87">
        <v>1</v>
      </c>
      <c r="L37" s="87">
        <v>1</v>
      </c>
      <c r="M37" s="87">
        <v>1</v>
      </c>
      <c r="N37" s="87">
        <v>1</v>
      </c>
      <c r="O37" s="87">
        <v>1</v>
      </c>
    </row>
    <row r="38" spans="1:15" ht="15.75" customHeight="1" x14ac:dyDescent="0.35">
      <c r="B38" s="5" t="s">
        <v>194</v>
      </c>
      <c r="C38" s="87">
        <v>1</v>
      </c>
      <c r="D38" s="87">
        <v>1</v>
      </c>
      <c r="E38" s="87">
        <v>1</v>
      </c>
      <c r="F38" s="87">
        <v>1</v>
      </c>
      <c r="G38" s="87">
        <v>1</v>
      </c>
      <c r="H38" s="87">
        <v>1</v>
      </c>
      <c r="I38" s="87">
        <v>1</v>
      </c>
      <c r="J38" s="87">
        <v>1</v>
      </c>
      <c r="K38" s="87">
        <v>1</v>
      </c>
      <c r="L38" s="87">
        <v>1</v>
      </c>
      <c r="M38" s="87">
        <v>1</v>
      </c>
      <c r="N38" s="87">
        <v>1</v>
      </c>
      <c r="O38" s="87">
        <v>1</v>
      </c>
    </row>
    <row r="39" spans="1:15" ht="15.75" customHeight="1" x14ac:dyDescent="0.35">
      <c r="B39" s="5" t="s">
        <v>195</v>
      </c>
      <c r="C39" s="87">
        <v>1</v>
      </c>
      <c r="D39" s="87">
        <v>1</v>
      </c>
      <c r="E39" s="87">
        <v>1</v>
      </c>
      <c r="F39" s="87">
        <v>1</v>
      </c>
      <c r="G39" s="87">
        <v>1</v>
      </c>
      <c r="H39" s="87">
        <v>1</v>
      </c>
      <c r="I39" s="87">
        <v>1</v>
      </c>
      <c r="J39" s="87">
        <v>1</v>
      </c>
      <c r="K39" s="87">
        <v>1</v>
      </c>
      <c r="L39" s="87">
        <v>1</v>
      </c>
      <c r="M39" s="87">
        <v>1</v>
      </c>
      <c r="N39" s="87">
        <v>1</v>
      </c>
      <c r="O39" s="87">
        <v>1</v>
      </c>
    </row>
    <row r="40" spans="1:15" ht="15.75" customHeight="1" x14ac:dyDescent="0.35">
      <c r="B40" s="5" t="s">
        <v>196</v>
      </c>
      <c r="C40" s="87">
        <v>1</v>
      </c>
      <c r="D40" s="87">
        <v>1</v>
      </c>
      <c r="E40" s="87">
        <v>1</v>
      </c>
      <c r="F40" s="87">
        <v>1</v>
      </c>
      <c r="G40" s="87">
        <v>1</v>
      </c>
      <c r="H40" s="87">
        <v>1</v>
      </c>
      <c r="I40" s="87">
        <v>1</v>
      </c>
      <c r="J40" s="87">
        <v>1</v>
      </c>
      <c r="K40" s="87">
        <v>1</v>
      </c>
      <c r="L40" s="87">
        <v>1</v>
      </c>
      <c r="M40" s="87">
        <v>1</v>
      </c>
      <c r="N40" s="87">
        <v>1</v>
      </c>
      <c r="O40" s="87">
        <v>1</v>
      </c>
    </row>
    <row r="41" spans="1:15" ht="15.75" customHeight="1" x14ac:dyDescent="0.35">
      <c r="B41" s="5" t="s">
        <v>197</v>
      </c>
      <c r="C41" s="87">
        <v>1</v>
      </c>
      <c r="D41" s="87">
        <v>1</v>
      </c>
      <c r="E41" s="87">
        <v>1</v>
      </c>
      <c r="F41" s="87">
        <v>1</v>
      </c>
      <c r="G41" s="87">
        <v>1</v>
      </c>
      <c r="H41" s="87">
        <v>1</v>
      </c>
      <c r="I41" s="87">
        <v>1</v>
      </c>
      <c r="J41" s="87">
        <v>1</v>
      </c>
      <c r="K41" s="87">
        <v>1</v>
      </c>
      <c r="L41" s="87">
        <v>1</v>
      </c>
      <c r="M41" s="87">
        <v>1</v>
      </c>
      <c r="N41" s="87">
        <v>1</v>
      </c>
      <c r="O41" s="87">
        <v>1</v>
      </c>
    </row>
    <row r="42" spans="1:15" ht="15" customHeight="1" x14ac:dyDescent="0.35">
      <c r="B42" s="5" t="s">
        <v>198</v>
      </c>
      <c r="C42" s="87">
        <v>1</v>
      </c>
      <c r="D42" s="87">
        <v>1</v>
      </c>
      <c r="E42" s="87">
        <v>1</v>
      </c>
      <c r="F42" s="87">
        <v>1</v>
      </c>
      <c r="G42" s="87">
        <v>1</v>
      </c>
      <c r="H42" s="87">
        <v>1</v>
      </c>
      <c r="I42" s="87">
        <v>1</v>
      </c>
      <c r="J42" s="87">
        <v>1</v>
      </c>
      <c r="K42" s="87">
        <v>1</v>
      </c>
      <c r="L42" s="87">
        <v>1</v>
      </c>
      <c r="M42" s="87">
        <v>1</v>
      </c>
      <c r="N42" s="87">
        <v>1</v>
      </c>
      <c r="O42" s="87">
        <v>1</v>
      </c>
    </row>
  </sheetData>
  <sheetProtection algorithmName="SHA-512" hashValue="/iNx8XhXnh7Xx3uVehiCurwu84DzhXX8Awjv5OnRpydvMo//nxQizpEy+BvB5S3dYPWZ66+QPd4XSBmiXvnjlw==" saltValue="ZzUL++HyQF3FaTSDA9XqUQ==" spinCount="100000" sheet="1" selectLockedCell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workbookViewId="0">
      <selection activeCell="B11" sqref="B11"/>
    </sheetView>
  </sheetViews>
  <sheetFormatPr defaultColWidth="12.81640625" defaultRowHeight="12.5" x14ac:dyDescent="0.25"/>
  <cols>
    <col min="1" max="1" width="58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156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5" t="s">
        <v>166</v>
      </c>
      <c r="B2" s="87"/>
      <c r="C2" s="87"/>
      <c r="D2" s="87"/>
      <c r="E2" s="87"/>
      <c r="F2" s="87"/>
      <c r="G2" s="87"/>
      <c r="H2" s="87"/>
      <c r="I2" s="87" t="s">
        <v>149</v>
      </c>
      <c r="J2" s="87"/>
      <c r="K2" s="87"/>
    </row>
    <row r="3" spans="1:11" x14ac:dyDescent="0.25">
      <c r="A3" s="5" t="s">
        <v>168</v>
      </c>
      <c r="B3" s="87"/>
      <c r="C3" s="87"/>
      <c r="D3" s="87"/>
      <c r="E3" s="87"/>
      <c r="F3" s="87"/>
      <c r="G3" s="87"/>
      <c r="H3" s="87" t="s">
        <v>149</v>
      </c>
      <c r="I3" s="87"/>
      <c r="J3" s="87"/>
      <c r="K3" s="87"/>
    </row>
    <row r="4" spans="1:11" x14ac:dyDescent="0.25">
      <c r="A4" s="5" t="s">
        <v>169</v>
      </c>
      <c r="B4" s="87"/>
      <c r="C4" s="87"/>
      <c r="D4" s="87" t="s">
        <v>149</v>
      </c>
      <c r="E4" s="87"/>
      <c r="F4" s="87"/>
      <c r="G4" s="87"/>
      <c r="H4" s="87"/>
      <c r="I4" s="87"/>
      <c r="J4" s="87"/>
      <c r="K4" s="87"/>
    </row>
    <row r="5" spans="1:11" x14ac:dyDescent="0.25">
      <c r="A5" s="5" t="s">
        <v>170</v>
      </c>
      <c r="B5" s="87"/>
      <c r="C5" s="87" t="s">
        <v>149</v>
      </c>
      <c r="D5" s="87"/>
      <c r="E5" s="87"/>
      <c r="F5" s="87"/>
      <c r="G5" s="87"/>
      <c r="H5" s="87"/>
      <c r="I5" s="87"/>
      <c r="J5" s="87"/>
      <c r="K5" s="87"/>
    </row>
    <row r="6" spans="1:11" x14ac:dyDescent="0.25">
      <c r="A6" s="5" t="s">
        <v>171</v>
      </c>
      <c r="B6" s="87"/>
      <c r="C6" s="87"/>
      <c r="D6" s="87"/>
      <c r="E6" s="87"/>
      <c r="F6" s="87"/>
      <c r="G6" s="87"/>
      <c r="H6" s="87"/>
      <c r="I6" s="87"/>
      <c r="J6" s="87" t="s">
        <v>149</v>
      </c>
      <c r="K6" s="87" t="s">
        <v>149</v>
      </c>
    </row>
    <row r="7" spans="1:11" x14ac:dyDescent="0.25">
      <c r="A7" s="5" t="s">
        <v>172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/>
      <c r="J7" s="87"/>
      <c r="K7" s="87"/>
    </row>
    <row r="8" spans="1:11" x14ac:dyDescent="0.25">
      <c r="A8" s="5" t="s">
        <v>173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/>
      <c r="J8" s="87"/>
      <c r="K8" s="87"/>
    </row>
    <row r="9" spans="1:11" x14ac:dyDescent="0.25">
      <c r="A9" s="5" t="s">
        <v>174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/>
      <c r="J9" s="87"/>
      <c r="K9" s="87"/>
    </row>
    <row r="10" spans="1:11" x14ac:dyDescent="0.25">
      <c r="A10" s="11" t="s">
        <v>175</v>
      </c>
      <c r="B10" s="87"/>
      <c r="C10" s="87" t="s">
        <v>149</v>
      </c>
      <c r="D10" s="87"/>
      <c r="E10" s="87"/>
      <c r="F10" s="87"/>
      <c r="G10" s="87"/>
      <c r="H10" s="87"/>
      <c r="I10" s="87"/>
      <c r="J10" s="87"/>
      <c r="K10" s="87"/>
    </row>
    <row r="11" spans="1:11" x14ac:dyDescent="0.25">
      <c r="A11" s="11" t="s">
        <v>176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/>
      <c r="K11" s="87"/>
    </row>
    <row r="12" spans="1:11" x14ac:dyDescent="0.25">
      <c r="A12" s="11" t="s">
        <v>177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/>
    </row>
    <row r="13" spans="1:11" x14ac:dyDescent="0.25">
      <c r="A13" s="11" t="s">
        <v>178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/>
    </row>
    <row r="14" spans="1:11" x14ac:dyDescent="0.25">
      <c r="A14" s="5" t="s">
        <v>179</v>
      </c>
      <c r="B14" s="87"/>
      <c r="C14" s="87" t="s">
        <v>149</v>
      </c>
      <c r="D14" s="87"/>
      <c r="E14" s="87"/>
      <c r="F14" s="87"/>
      <c r="G14" s="87"/>
      <c r="H14" s="87"/>
      <c r="I14" s="87" t="s">
        <v>149</v>
      </c>
      <c r="J14" s="87"/>
      <c r="K14" s="87"/>
    </row>
    <row r="15" spans="1:11" x14ac:dyDescent="0.25">
      <c r="A15" s="5" t="s">
        <v>180</v>
      </c>
      <c r="B15" s="87"/>
      <c r="C15" s="87" t="s">
        <v>149</v>
      </c>
      <c r="D15" s="87"/>
      <c r="E15" s="87"/>
      <c r="F15" s="87"/>
      <c r="G15" s="87"/>
      <c r="H15" s="87"/>
      <c r="I15" s="87" t="s">
        <v>149</v>
      </c>
      <c r="J15" s="87"/>
      <c r="K15" s="87"/>
    </row>
    <row r="16" spans="1:11" x14ac:dyDescent="0.25">
      <c r="A16" s="5" t="s">
        <v>181</v>
      </c>
      <c r="B16" s="87"/>
      <c r="C16" s="87" t="s">
        <v>149</v>
      </c>
      <c r="D16" s="87"/>
      <c r="E16" s="87"/>
      <c r="F16" s="87"/>
      <c r="G16" s="87"/>
      <c r="H16" s="87" t="s">
        <v>149</v>
      </c>
      <c r="I16" s="87" t="s">
        <v>149</v>
      </c>
      <c r="J16" s="87"/>
      <c r="K16" s="87"/>
    </row>
    <row r="17" spans="1:11" x14ac:dyDescent="0.25">
      <c r="A17" s="5" t="s">
        <v>182</v>
      </c>
      <c r="B17" s="87"/>
      <c r="C17" s="87" t="s">
        <v>149</v>
      </c>
      <c r="D17" s="87"/>
      <c r="E17" s="87"/>
      <c r="F17" s="87"/>
      <c r="G17" s="87"/>
      <c r="H17" s="87"/>
      <c r="I17" s="87"/>
      <c r="J17" s="87"/>
      <c r="K17" s="87"/>
    </row>
    <row r="18" spans="1:11" x14ac:dyDescent="0.25">
      <c r="A18" s="5" t="s">
        <v>148</v>
      </c>
      <c r="B18" s="87" t="s">
        <v>149</v>
      </c>
      <c r="C18" s="87"/>
      <c r="D18" s="87"/>
      <c r="E18" s="87"/>
      <c r="F18" s="87" t="s">
        <v>149</v>
      </c>
      <c r="G18" s="87"/>
      <c r="H18" s="87"/>
      <c r="I18" s="87"/>
      <c r="J18" s="87"/>
      <c r="K18" s="87"/>
    </row>
    <row r="19" spans="1:11" x14ac:dyDescent="0.25">
      <c r="A19" s="5" t="s">
        <v>151</v>
      </c>
      <c r="B19" s="87" t="s">
        <v>149</v>
      </c>
      <c r="C19" s="87"/>
      <c r="D19" s="87"/>
      <c r="E19" s="87"/>
      <c r="F19" s="87" t="s">
        <v>149</v>
      </c>
      <c r="G19" s="87"/>
      <c r="H19" s="87"/>
      <c r="I19" s="87"/>
      <c r="J19" s="87"/>
      <c r="K19" s="87"/>
    </row>
    <row r="20" spans="1:11" x14ac:dyDescent="0.25">
      <c r="A20" s="5" t="s">
        <v>152</v>
      </c>
      <c r="B20" s="87" t="s">
        <v>149</v>
      </c>
      <c r="C20" s="87"/>
      <c r="D20" s="87"/>
      <c r="E20" s="87"/>
      <c r="F20" s="87" t="s">
        <v>149</v>
      </c>
      <c r="G20" s="87"/>
      <c r="H20" s="87"/>
      <c r="I20" s="87"/>
      <c r="J20" s="87"/>
      <c r="K20" s="87"/>
    </row>
    <row r="21" spans="1:11" x14ac:dyDescent="0.25">
      <c r="A21" s="5" t="s">
        <v>183</v>
      </c>
      <c r="B21" s="87"/>
      <c r="C21" s="87"/>
      <c r="D21" s="87"/>
      <c r="E21" s="87"/>
      <c r="F21" s="87"/>
      <c r="G21" s="87"/>
      <c r="H21" s="87" t="s">
        <v>149</v>
      </c>
      <c r="I21" s="87" t="s">
        <v>149</v>
      </c>
      <c r="J21" s="87"/>
      <c r="K21" s="87"/>
    </row>
    <row r="22" spans="1:11" x14ac:dyDescent="0.25">
      <c r="A22" s="5" t="s">
        <v>184</v>
      </c>
      <c r="B22" s="87" t="s">
        <v>149</v>
      </c>
      <c r="C22" s="87" t="s">
        <v>149</v>
      </c>
      <c r="D22" s="87" t="s">
        <v>149</v>
      </c>
      <c r="E22" s="87"/>
      <c r="F22" s="87"/>
      <c r="G22" s="87"/>
      <c r="H22" s="87"/>
      <c r="I22" s="87"/>
      <c r="J22" s="87"/>
      <c r="K22" s="87"/>
    </row>
    <row r="23" spans="1:11" x14ac:dyDescent="0.25">
      <c r="A23" s="5" t="s">
        <v>185</v>
      </c>
      <c r="B23" s="87"/>
      <c r="C23" s="87" t="s">
        <v>149</v>
      </c>
      <c r="D23" s="87"/>
      <c r="E23" s="87"/>
      <c r="F23" s="87"/>
      <c r="G23" s="87"/>
      <c r="H23" s="87"/>
      <c r="I23" s="87" t="s">
        <v>149</v>
      </c>
      <c r="J23" s="87"/>
      <c r="K23" s="87"/>
    </row>
    <row r="24" spans="1:11" x14ac:dyDescent="0.25">
      <c r="A24" s="5" t="s">
        <v>186</v>
      </c>
      <c r="B24" s="87"/>
      <c r="C24" s="87"/>
      <c r="D24" s="87"/>
      <c r="E24" s="87"/>
      <c r="F24" s="87"/>
      <c r="G24" s="87"/>
      <c r="H24" s="87" t="s">
        <v>149</v>
      </c>
      <c r="I24" s="87"/>
      <c r="J24" s="87"/>
      <c r="K24" s="87"/>
    </row>
    <row r="25" spans="1:11" x14ac:dyDescent="0.25">
      <c r="A25" s="5" t="s">
        <v>187</v>
      </c>
      <c r="B25" s="87"/>
      <c r="C25" s="87"/>
      <c r="D25" s="87"/>
      <c r="E25" s="87"/>
      <c r="F25" s="87"/>
      <c r="G25" s="87"/>
      <c r="H25" s="87" t="s">
        <v>149</v>
      </c>
      <c r="I25" s="87"/>
      <c r="J25" s="87"/>
      <c r="K25" s="87"/>
    </row>
    <row r="26" spans="1:11" x14ac:dyDescent="0.25">
      <c r="A26" s="5" t="s">
        <v>188</v>
      </c>
      <c r="B26" s="87"/>
      <c r="C26" s="87" t="s">
        <v>149</v>
      </c>
      <c r="D26" s="87"/>
      <c r="E26" s="87"/>
      <c r="F26" s="87"/>
      <c r="G26" s="87"/>
      <c r="H26" s="87"/>
      <c r="I26" s="87"/>
      <c r="J26" s="87"/>
      <c r="K26" s="87"/>
    </row>
    <row r="27" spans="1:11" x14ac:dyDescent="0.25">
      <c r="A27" s="5" t="s">
        <v>189</v>
      </c>
      <c r="B27" s="87"/>
      <c r="C27" s="87" t="s">
        <v>149</v>
      </c>
      <c r="D27" s="87"/>
      <c r="E27" s="87"/>
      <c r="F27" s="87"/>
      <c r="G27" s="87"/>
      <c r="H27" s="87"/>
      <c r="I27" s="87" t="s">
        <v>149</v>
      </c>
      <c r="J27" s="87"/>
      <c r="K27" s="87"/>
    </row>
    <row r="28" spans="1:11" x14ac:dyDescent="0.25">
      <c r="A28" s="5" t="s">
        <v>190</v>
      </c>
      <c r="B28" s="87"/>
      <c r="C28" s="87"/>
      <c r="D28" s="87"/>
      <c r="E28" s="87"/>
      <c r="F28" s="87"/>
      <c r="G28" s="87"/>
      <c r="H28" s="87" t="s">
        <v>149</v>
      </c>
      <c r="I28" s="87"/>
      <c r="J28" s="87"/>
      <c r="K28" s="87"/>
    </row>
    <row r="29" spans="1:11" x14ac:dyDescent="0.25">
      <c r="A29" s="5" t="s">
        <v>191</v>
      </c>
      <c r="B29" s="87" t="s">
        <v>149</v>
      </c>
      <c r="C29" s="87"/>
      <c r="D29" s="87" t="s">
        <v>149</v>
      </c>
      <c r="E29" s="87"/>
      <c r="F29" s="87"/>
      <c r="G29" s="87"/>
      <c r="H29" s="87"/>
      <c r="I29" s="87"/>
      <c r="J29" s="87"/>
      <c r="K29" s="87"/>
    </row>
    <row r="30" spans="1:11" x14ac:dyDescent="0.25">
      <c r="A30" s="5" t="s">
        <v>192</v>
      </c>
      <c r="B30" s="87" t="s">
        <v>149</v>
      </c>
      <c r="C30" s="87" t="s">
        <v>149</v>
      </c>
      <c r="D30" s="87" t="s">
        <v>149</v>
      </c>
      <c r="E30" s="87"/>
      <c r="F30" s="87"/>
      <c r="G30" s="87"/>
      <c r="H30" s="87"/>
      <c r="I30" s="87"/>
      <c r="J30" s="87"/>
      <c r="K30" s="87"/>
    </row>
    <row r="31" spans="1:11" x14ac:dyDescent="0.25">
      <c r="A31" s="5" t="s">
        <v>157</v>
      </c>
      <c r="B31" s="87"/>
      <c r="C31" s="87"/>
      <c r="D31" s="87"/>
      <c r="E31" s="87" t="s">
        <v>149</v>
      </c>
      <c r="F31" s="87"/>
      <c r="G31" s="87"/>
      <c r="H31" s="87"/>
      <c r="I31" s="87"/>
      <c r="J31" s="87"/>
      <c r="K31" s="87"/>
    </row>
    <row r="32" spans="1:11" x14ac:dyDescent="0.25">
      <c r="A32" s="5" t="s">
        <v>193</v>
      </c>
      <c r="B32" s="87"/>
      <c r="C32" s="87"/>
      <c r="D32" s="87"/>
      <c r="E32" s="87"/>
      <c r="F32" s="87"/>
      <c r="G32" s="87" t="s">
        <v>149</v>
      </c>
      <c r="H32" s="87" t="s">
        <v>149</v>
      </c>
      <c r="I32" s="87"/>
      <c r="J32" s="87"/>
      <c r="K32" s="87"/>
    </row>
    <row r="33" spans="1:11" x14ac:dyDescent="0.25">
      <c r="A33" s="5" t="s">
        <v>194</v>
      </c>
      <c r="B33" s="87"/>
      <c r="C33" s="87"/>
      <c r="D33" s="87"/>
      <c r="E33" s="87"/>
      <c r="F33" s="87"/>
      <c r="G33" s="87" t="s">
        <v>149</v>
      </c>
      <c r="H33" s="87" t="s">
        <v>149</v>
      </c>
      <c r="I33" s="87"/>
      <c r="J33" s="87"/>
      <c r="K33" s="87"/>
    </row>
    <row r="34" spans="1:11" x14ac:dyDescent="0.25">
      <c r="A34" s="5" t="s">
        <v>195</v>
      </c>
      <c r="B34" s="87"/>
      <c r="C34" s="87"/>
      <c r="D34" s="87"/>
      <c r="E34" s="87"/>
      <c r="F34" s="87"/>
      <c r="G34" s="87" t="s">
        <v>149</v>
      </c>
      <c r="H34" s="87" t="s">
        <v>149</v>
      </c>
      <c r="I34" s="87"/>
      <c r="J34" s="87"/>
      <c r="K34" s="87"/>
    </row>
    <row r="35" spans="1:11" x14ac:dyDescent="0.25">
      <c r="A35" s="5" t="s">
        <v>196</v>
      </c>
      <c r="B35" s="87"/>
      <c r="C35" s="87"/>
      <c r="D35" s="87"/>
      <c r="E35" s="87"/>
      <c r="F35" s="87"/>
      <c r="G35" s="87" t="s">
        <v>149</v>
      </c>
      <c r="H35" s="87" t="s">
        <v>149</v>
      </c>
      <c r="I35" s="87"/>
      <c r="J35" s="87"/>
      <c r="K35" s="87"/>
    </row>
    <row r="36" spans="1:11" x14ac:dyDescent="0.25">
      <c r="A36" s="5" t="s">
        <v>197</v>
      </c>
      <c r="B36" s="87"/>
      <c r="C36" s="87"/>
      <c r="D36" s="87"/>
      <c r="E36" s="87"/>
      <c r="F36" s="87"/>
      <c r="G36" s="87" t="s">
        <v>149</v>
      </c>
      <c r="H36" s="87" t="s">
        <v>149</v>
      </c>
      <c r="I36" s="87"/>
      <c r="J36" s="87"/>
      <c r="K36" s="87"/>
    </row>
    <row r="37" spans="1:11" x14ac:dyDescent="0.25">
      <c r="A37" s="5" t="s">
        <v>198</v>
      </c>
      <c r="B37" s="87"/>
      <c r="C37" s="87"/>
      <c r="D37" s="87"/>
      <c r="E37" s="87"/>
      <c r="F37" s="87"/>
      <c r="G37" s="87" t="s">
        <v>149</v>
      </c>
      <c r="H37" s="87" t="s">
        <v>149</v>
      </c>
      <c r="I37" s="87"/>
      <c r="J37" s="87"/>
      <c r="K37" s="87"/>
    </row>
    <row r="38" spans="1:11" x14ac:dyDescent="0.25">
      <c r="A38" s="5" t="s">
        <v>199</v>
      </c>
      <c r="B38" s="87"/>
      <c r="C38" s="87"/>
      <c r="D38" s="87"/>
      <c r="E38" s="87"/>
      <c r="F38" s="87"/>
      <c r="G38" s="87"/>
      <c r="H38" s="87" t="s">
        <v>149</v>
      </c>
      <c r="I38" s="87"/>
      <c r="J38" s="87"/>
      <c r="K38" s="87"/>
    </row>
    <row r="39" spans="1:11" x14ac:dyDescent="0.25">
      <c r="A39" s="5" t="s">
        <v>200</v>
      </c>
      <c r="B39" s="87" t="s">
        <v>149</v>
      </c>
      <c r="C39" s="87"/>
      <c r="D39" s="87"/>
      <c r="E39" s="87"/>
      <c r="F39" s="87"/>
      <c r="G39" s="87" t="s">
        <v>149</v>
      </c>
      <c r="H39" s="87" t="s">
        <v>149</v>
      </c>
      <c r="I39" s="87"/>
      <c r="J39" s="87"/>
      <c r="K39" s="87"/>
    </row>
  </sheetData>
  <sheetProtection algorithmName="SHA-512" hashValue="r5uzVyzuX2cUXRUCd1eCp2cRQdoXMaTi7+j4lrtBEgwzDwwg07iN9Zvo/tiwSsVCYAFkOMHpp89HQAzExnqtEg==" saltValue="Yl6vtKysPUoNlkWylvJDXA==" spinCount="100000" sheet="1" selectLockedCell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81640625" defaultRowHeight="12.5" x14ac:dyDescent="0.25"/>
  <cols>
    <col min="1" max="1" width="16.90625" style="8" bestFit="1" customWidth="1"/>
    <col min="2" max="2" width="8.6328125" style="8" bestFit="1" customWidth="1"/>
    <col min="3" max="3" width="8.90625" style="8" bestFit="1" customWidth="1"/>
    <col min="4" max="4" width="18.36328125" style="8" bestFit="1" customWidth="1"/>
    <col min="5" max="5" width="17.453125" style="8" bestFit="1" customWidth="1"/>
    <col min="6" max="6" width="13.54296875" style="8" bestFit="1" customWidth="1"/>
    <col min="7" max="7" width="9.81640625" style="8" bestFit="1" customWidth="1"/>
    <col min="8" max="8" width="8.90625" style="8" bestFit="1" customWidth="1"/>
    <col min="9" max="9" width="14.81640625" style="8" bestFit="1" customWidth="1"/>
    <col min="10" max="10" width="15.36328125" style="8" bestFit="1" customWidth="1"/>
    <col min="11" max="11" width="12.81640625" style="8" customWidth="1"/>
    <col min="12" max="16384" width="12.81640625" style="8"/>
  </cols>
  <sheetData>
    <row r="1" spans="1:11" ht="13" customHeight="1" x14ac:dyDescent="0.3">
      <c r="A1" s="4" t="s">
        <v>230</v>
      </c>
      <c r="B1" s="8" t="s">
        <v>225</v>
      </c>
      <c r="C1" s="8" t="s">
        <v>111</v>
      </c>
      <c r="D1" s="8" t="s">
        <v>226</v>
      </c>
      <c r="E1" s="8" t="s">
        <v>227</v>
      </c>
      <c r="F1" s="8" t="s">
        <v>118</v>
      </c>
      <c r="G1" s="8" t="s">
        <v>81</v>
      </c>
      <c r="H1" s="8" t="s">
        <v>32</v>
      </c>
      <c r="I1" s="8" t="s">
        <v>228</v>
      </c>
      <c r="J1" s="8" t="s">
        <v>25</v>
      </c>
      <c r="K1" s="8" t="s">
        <v>229</v>
      </c>
    </row>
    <row r="2" spans="1:11" x14ac:dyDescent="0.25">
      <c r="A2" s="8" t="s">
        <v>67</v>
      </c>
      <c r="B2" s="87" t="s">
        <v>149</v>
      </c>
      <c r="C2" s="87" t="s">
        <v>149</v>
      </c>
      <c r="D2" s="87" t="s">
        <v>149</v>
      </c>
      <c r="E2" s="87" t="s">
        <v>149</v>
      </c>
      <c r="F2" s="87" t="s">
        <v>149</v>
      </c>
      <c r="G2" s="87" t="s">
        <v>149</v>
      </c>
      <c r="H2" s="87" t="s">
        <v>149</v>
      </c>
      <c r="I2" s="87"/>
      <c r="J2" s="87"/>
      <c r="K2" s="87"/>
    </row>
    <row r="3" spans="1:11" x14ac:dyDescent="0.25">
      <c r="A3" s="8" t="s">
        <v>77</v>
      </c>
      <c r="B3" s="87" t="s">
        <v>149</v>
      </c>
      <c r="C3" s="87" t="s">
        <v>149</v>
      </c>
      <c r="D3" s="87" t="s">
        <v>149</v>
      </c>
      <c r="E3" s="87" t="s">
        <v>149</v>
      </c>
      <c r="F3" s="87" t="s">
        <v>149</v>
      </c>
      <c r="G3" s="87" t="s">
        <v>149</v>
      </c>
      <c r="H3" s="87" t="s">
        <v>149</v>
      </c>
      <c r="I3" s="87"/>
      <c r="J3" s="87"/>
      <c r="K3" s="87"/>
    </row>
    <row r="4" spans="1:11" x14ac:dyDescent="0.25">
      <c r="A4" s="8" t="s">
        <v>78</v>
      </c>
      <c r="B4" s="87" t="s">
        <v>149</v>
      </c>
      <c r="C4" s="87" t="s">
        <v>149</v>
      </c>
      <c r="D4" s="87" t="s">
        <v>149</v>
      </c>
      <c r="E4" s="87" t="s">
        <v>149</v>
      </c>
      <c r="F4" s="87" t="s">
        <v>149</v>
      </c>
      <c r="G4" s="87" t="s">
        <v>149</v>
      </c>
      <c r="H4" s="87" t="s">
        <v>149</v>
      </c>
      <c r="I4" s="87"/>
      <c r="J4" s="87"/>
      <c r="K4" s="87"/>
    </row>
    <row r="5" spans="1:11" x14ac:dyDescent="0.25">
      <c r="A5" s="8" t="s">
        <v>79</v>
      </c>
      <c r="B5" s="87" t="s">
        <v>149</v>
      </c>
      <c r="C5" s="87" t="s">
        <v>149</v>
      </c>
      <c r="D5" s="87" t="s">
        <v>149</v>
      </c>
      <c r="E5" s="87" t="s">
        <v>149</v>
      </c>
      <c r="F5" s="87" t="s">
        <v>149</v>
      </c>
      <c r="G5" s="87" t="s">
        <v>149</v>
      </c>
      <c r="H5" s="87" t="s">
        <v>149</v>
      </c>
      <c r="I5" s="87"/>
      <c r="J5" s="87"/>
      <c r="K5" s="87"/>
    </row>
    <row r="6" spans="1:11" x14ac:dyDescent="0.25">
      <c r="A6" s="8" t="s">
        <v>80</v>
      </c>
      <c r="B6" s="87" t="s">
        <v>149</v>
      </c>
      <c r="C6" s="87" t="s">
        <v>149</v>
      </c>
      <c r="D6" s="87" t="s">
        <v>149</v>
      </c>
      <c r="E6" s="87" t="s">
        <v>149</v>
      </c>
      <c r="F6" s="87" t="s">
        <v>149</v>
      </c>
      <c r="G6" s="87" t="s">
        <v>149</v>
      </c>
      <c r="H6" s="87" t="s">
        <v>149</v>
      </c>
      <c r="I6" s="87"/>
      <c r="J6" s="87"/>
      <c r="K6" s="87"/>
    </row>
    <row r="7" spans="1:11" x14ac:dyDescent="0.25">
      <c r="A7" s="8" t="s">
        <v>112</v>
      </c>
      <c r="B7" s="87"/>
      <c r="C7" s="87" t="s">
        <v>149</v>
      </c>
      <c r="D7" s="87"/>
      <c r="E7" s="87"/>
      <c r="F7" s="87"/>
      <c r="G7" s="87"/>
      <c r="H7" s="87" t="s">
        <v>149</v>
      </c>
      <c r="I7" s="87" t="s">
        <v>149</v>
      </c>
      <c r="J7" s="87"/>
      <c r="K7" s="87"/>
    </row>
    <row r="8" spans="1:11" x14ac:dyDescent="0.25">
      <c r="A8" s="8" t="s">
        <v>113</v>
      </c>
      <c r="B8" s="87"/>
      <c r="C8" s="87" t="s">
        <v>149</v>
      </c>
      <c r="D8" s="87"/>
      <c r="E8" s="87"/>
      <c r="F8" s="87"/>
      <c r="G8" s="87"/>
      <c r="H8" s="87" t="s">
        <v>149</v>
      </c>
      <c r="I8" s="87" t="s">
        <v>149</v>
      </c>
      <c r="J8" s="87"/>
      <c r="K8" s="87"/>
    </row>
    <row r="9" spans="1:11" x14ac:dyDescent="0.25">
      <c r="A9" s="8" t="s">
        <v>114</v>
      </c>
      <c r="B9" s="87"/>
      <c r="C9" s="87" t="s">
        <v>149</v>
      </c>
      <c r="D9" s="87"/>
      <c r="E9" s="87"/>
      <c r="F9" s="87"/>
      <c r="G9" s="87"/>
      <c r="H9" s="87" t="s">
        <v>149</v>
      </c>
      <c r="I9" s="87" t="s">
        <v>149</v>
      </c>
      <c r="J9" s="87"/>
      <c r="K9" s="87"/>
    </row>
    <row r="10" spans="1:11" x14ac:dyDescent="0.25">
      <c r="A10" s="8" t="s">
        <v>115</v>
      </c>
      <c r="B10" s="87"/>
      <c r="C10" s="87" t="s">
        <v>149</v>
      </c>
      <c r="D10" s="87"/>
      <c r="E10" s="87"/>
      <c r="F10" s="87"/>
      <c r="G10" s="87"/>
      <c r="H10" s="87" t="s">
        <v>149</v>
      </c>
      <c r="I10" s="87" t="s">
        <v>149</v>
      </c>
      <c r="J10" s="87"/>
      <c r="K10" s="87"/>
    </row>
    <row r="11" spans="1:11" x14ac:dyDescent="0.25">
      <c r="A11" s="8" t="s">
        <v>58</v>
      </c>
      <c r="B11" s="87"/>
      <c r="C11" s="87" t="s">
        <v>149</v>
      </c>
      <c r="D11" s="87"/>
      <c r="E11" s="87"/>
      <c r="F11" s="87"/>
      <c r="G11" s="87"/>
      <c r="H11" s="87"/>
      <c r="I11" s="87"/>
      <c r="J11" s="87" t="s">
        <v>149</v>
      </c>
      <c r="K11" s="87" t="s">
        <v>149</v>
      </c>
    </row>
    <row r="12" spans="1:11" x14ac:dyDescent="0.25">
      <c r="A12" s="8" t="s">
        <v>59</v>
      </c>
      <c r="B12" s="87"/>
      <c r="C12" s="87" t="s">
        <v>149</v>
      </c>
      <c r="D12" s="87"/>
      <c r="E12" s="87"/>
      <c r="F12" s="87"/>
      <c r="G12" s="87"/>
      <c r="H12" s="87"/>
      <c r="I12" s="87"/>
      <c r="J12" s="87"/>
      <c r="K12" s="87" t="s">
        <v>149</v>
      </c>
    </row>
    <row r="13" spans="1:11" x14ac:dyDescent="0.25">
      <c r="A13" s="8" t="s">
        <v>60</v>
      </c>
      <c r="B13" s="87"/>
      <c r="C13" s="87" t="s">
        <v>149</v>
      </c>
      <c r="D13" s="87"/>
      <c r="E13" s="87"/>
      <c r="F13" s="87"/>
      <c r="G13" s="87"/>
      <c r="H13" s="87"/>
      <c r="I13" s="87"/>
      <c r="J13" s="87"/>
      <c r="K13" s="87" t="s">
        <v>149</v>
      </c>
    </row>
    <row r="14" spans="1:11" x14ac:dyDescent="0.25">
      <c r="A14" s="8" t="s">
        <v>61</v>
      </c>
      <c r="B14" s="87"/>
      <c r="C14" s="87" t="s">
        <v>149</v>
      </c>
      <c r="D14" s="87"/>
      <c r="E14" s="87"/>
      <c r="F14" s="87"/>
      <c r="G14" s="87"/>
      <c r="H14" s="87"/>
      <c r="I14" s="87"/>
      <c r="J14" s="87"/>
      <c r="K14" s="87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D16" sqref="D16"/>
    </sheetView>
  </sheetViews>
  <sheetFormatPr defaultColWidth="14.453125" defaultRowHeight="15.75" customHeight="1" x14ac:dyDescent="0.25"/>
  <cols>
    <col min="1" max="1" width="8.453125" style="8" customWidth="1"/>
    <col min="2" max="9" width="16.90625" style="8" customWidth="1"/>
    <col min="10" max="10" width="14.453125" style="8" customWidth="1"/>
    <col min="11" max="16384" width="14.453125" style="8"/>
  </cols>
  <sheetData>
    <row r="1" spans="1:9" s="16" customFormat="1" ht="30" customHeight="1" x14ac:dyDescent="0.3">
      <c r="A1" s="26" t="s">
        <v>56</v>
      </c>
      <c r="B1" s="20" t="s">
        <v>57</v>
      </c>
      <c r="C1" s="18" t="s">
        <v>58</v>
      </c>
      <c r="D1" s="18" t="s">
        <v>59</v>
      </c>
      <c r="E1" s="18" t="s">
        <v>60</v>
      </c>
      <c r="F1" s="18" t="s">
        <v>61</v>
      </c>
      <c r="G1" s="18" t="s">
        <v>62</v>
      </c>
      <c r="H1" s="18" t="s">
        <v>63</v>
      </c>
      <c r="I1" s="18" t="s">
        <v>64</v>
      </c>
    </row>
    <row r="2" spans="1:9" ht="15.75" customHeight="1" x14ac:dyDescent="0.25">
      <c r="A2" s="5">
        <f>start_year</f>
        <v>2021</v>
      </c>
      <c r="B2" s="49">
        <v>151509.33240000001</v>
      </c>
      <c r="C2" s="49">
        <v>296000</v>
      </c>
      <c r="D2" s="49">
        <v>748000</v>
      </c>
      <c r="E2" s="49">
        <v>907000</v>
      </c>
      <c r="F2" s="49">
        <v>670000</v>
      </c>
      <c r="G2" s="17">
        <f t="shared" ref="G2:G11" si="0">C2+D2+E2+F2</f>
        <v>2621000</v>
      </c>
      <c r="H2" s="17">
        <f t="shared" ref="H2:H11" si="1">(B2 + stillbirth*B2/(1000-stillbirth))/(1-abortion)</f>
        <v>173728.12386563508</v>
      </c>
      <c r="I2" s="17">
        <f t="shared" ref="I2:I11" si="2">G2-H2</f>
        <v>2447271.8761343649</v>
      </c>
    </row>
    <row r="3" spans="1:9" ht="15.75" customHeight="1" x14ac:dyDescent="0.25">
      <c r="A3" s="5">
        <f t="shared" ref="A3:A40" si="3">IF($A$2+ROW(A3)-2&lt;=end_year,A2+1,"")</f>
        <v>2022</v>
      </c>
      <c r="B3" s="49">
        <v>147964.0932</v>
      </c>
      <c r="C3" s="50">
        <v>299000</v>
      </c>
      <c r="D3" s="50">
        <v>715000</v>
      </c>
      <c r="E3" s="50">
        <v>919000</v>
      </c>
      <c r="F3" s="50">
        <v>684000</v>
      </c>
      <c r="G3" s="17">
        <f t="shared" si="0"/>
        <v>2617000</v>
      </c>
      <c r="H3" s="17">
        <f t="shared" si="1"/>
        <v>169662.97655678913</v>
      </c>
      <c r="I3" s="17">
        <f t="shared" si="2"/>
        <v>2447337.0234432109</v>
      </c>
    </row>
    <row r="4" spans="1:9" ht="15.75" customHeight="1" x14ac:dyDescent="0.25">
      <c r="A4" s="5">
        <f t="shared" si="3"/>
        <v>2023</v>
      </c>
      <c r="B4" s="49">
        <v>144283.31039999999</v>
      </c>
      <c r="C4" s="50">
        <v>304000</v>
      </c>
      <c r="D4" s="50">
        <v>684000</v>
      </c>
      <c r="E4" s="50">
        <v>924000</v>
      </c>
      <c r="F4" s="50">
        <v>701000</v>
      </c>
      <c r="G4" s="17">
        <f t="shared" si="0"/>
        <v>2613000</v>
      </c>
      <c r="H4" s="17">
        <f t="shared" si="1"/>
        <v>165442.40822564057</v>
      </c>
      <c r="I4" s="17">
        <f t="shared" si="2"/>
        <v>2447557.5917743593</v>
      </c>
    </row>
    <row r="5" spans="1:9" ht="15.75" customHeight="1" x14ac:dyDescent="0.25">
      <c r="A5" s="5">
        <f t="shared" si="3"/>
        <v>2024</v>
      </c>
      <c r="B5" s="49">
        <v>140473.74299999999</v>
      </c>
      <c r="C5" s="50">
        <v>312000</v>
      </c>
      <c r="D5" s="50">
        <v>657000</v>
      </c>
      <c r="E5" s="50">
        <v>921000</v>
      </c>
      <c r="F5" s="50">
        <v>722000</v>
      </c>
      <c r="G5" s="17">
        <f t="shared" si="0"/>
        <v>2612000</v>
      </c>
      <c r="H5" s="17">
        <f t="shared" si="1"/>
        <v>161074.1690772138</v>
      </c>
      <c r="I5" s="17">
        <f t="shared" si="2"/>
        <v>2450925.8309227861</v>
      </c>
    </row>
    <row r="6" spans="1:9" ht="15.75" customHeight="1" x14ac:dyDescent="0.25">
      <c r="A6" s="5">
        <f t="shared" si="3"/>
        <v>2025</v>
      </c>
      <c r="B6" s="49">
        <v>136555.20000000001</v>
      </c>
      <c r="C6" s="50">
        <v>324000</v>
      </c>
      <c r="D6" s="50">
        <v>635000</v>
      </c>
      <c r="E6" s="50">
        <v>911000</v>
      </c>
      <c r="F6" s="50">
        <v>745000</v>
      </c>
      <c r="G6" s="17">
        <f t="shared" si="0"/>
        <v>2615000</v>
      </c>
      <c r="H6" s="17">
        <f t="shared" si="1"/>
        <v>156580.97309454301</v>
      </c>
      <c r="I6" s="17">
        <f t="shared" si="2"/>
        <v>2458419.026905457</v>
      </c>
    </row>
    <row r="7" spans="1:9" ht="15.75" customHeight="1" x14ac:dyDescent="0.25">
      <c r="A7" s="5">
        <f t="shared" si="3"/>
        <v>2026</v>
      </c>
      <c r="B7" s="49">
        <v>135509.70480000001</v>
      </c>
      <c r="C7" s="50">
        <v>339000</v>
      </c>
      <c r="D7" s="50">
        <v>620000</v>
      </c>
      <c r="E7" s="50">
        <v>894000</v>
      </c>
      <c r="F7" s="50">
        <v>772000</v>
      </c>
      <c r="G7" s="17">
        <f t="shared" si="0"/>
        <v>2625000</v>
      </c>
      <c r="H7" s="17">
        <f t="shared" si="1"/>
        <v>155382.15638319351</v>
      </c>
      <c r="I7" s="17">
        <f t="shared" si="2"/>
        <v>2469617.8436168064</v>
      </c>
    </row>
    <row r="8" spans="1:9" ht="15.75" customHeight="1" x14ac:dyDescent="0.25">
      <c r="A8" s="5">
        <f t="shared" si="3"/>
        <v>2027</v>
      </c>
      <c r="B8" s="49">
        <v>134408.08679999999</v>
      </c>
      <c r="C8" s="50">
        <v>358000</v>
      </c>
      <c r="D8" s="50">
        <v>611000</v>
      </c>
      <c r="E8" s="50">
        <v>869000</v>
      </c>
      <c r="F8" s="50">
        <v>801000</v>
      </c>
      <c r="G8" s="17">
        <f t="shared" si="0"/>
        <v>2639000</v>
      </c>
      <c r="H8" s="17">
        <f t="shared" si="1"/>
        <v>154118.98648253453</v>
      </c>
      <c r="I8" s="17">
        <f t="shared" si="2"/>
        <v>2484881.0135174654</v>
      </c>
    </row>
    <row r="9" spans="1:9" ht="15.75" customHeight="1" x14ac:dyDescent="0.25">
      <c r="A9" s="5">
        <f t="shared" si="3"/>
        <v>2028</v>
      </c>
      <c r="B9" s="49">
        <v>133251.84359999999</v>
      </c>
      <c r="C9" s="50">
        <v>377000</v>
      </c>
      <c r="D9" s="50">
        <v>607000</v>
      </c>
      <c r="E9" s="50">
        <v>840000</v>
      </c>
      <c r="F9" s="50">
        <v>831000</v>
      </c>
      <c r="G9" s="17">
        <f t="shared" si="0"/>
        <v>2655000</v>
      </c>
      <c r="H9" s="17">
        <f t="shared" si="1"/>
        <v>152793.18061509082</v>
      </c>
      <c r="I9" s="17">
        <f t="shared" si="2"/>
        <v>2502206.8193849092</v>
      </c>
    </row>
    <row r="10" spans="1:9" ht="15.75" customHeight="1" x14ac:dyDescent="0.25">
      <c r="A10" s="5">
        <f t="shared" si="3"/>
        <v>2029</v>
      </c>
      <c r="B10" s="49">
        <v>132030.08840000001</v>
      </c>
      <c r="C10" s="50">
        <v>392000</v>
      </c>
      <c r="D10" s="50">
        <v>610000</v>
      </c>
      <c r="E10" s="50">
        <v>808000</v>
      </c>
      <c r="F10" s="50">
        <v>858000</v>
      </c>
      <c r="G10" s="17">
        <f t="shared" si="0"/>
        <v>2668000</v>
      </c>
      <c r="H10" s="17">
        <f t="shared" si="1"/>
        <v>151392.25543538827</v>
      </c>
      <c r="I10" s="17">
        <f t="shared" si="2"/>
        <v>2516607.7445646119</v>
      </c>
    </row>
    <row r="11" spans="1:9" ht="15.75" customHeight="1" x14ac:dyDescent="0.25">
      <c r="A11" s="5">
        <f t="shared" si="3"/>
        <v>2030</v>
      </c>
      <c r="B11" s="49">
        <v>130769.254</v>
      </c>
      <c r="C11" s="50">
        <v>401000</v>
      </c>
      <c r="D11" s="50">
        <v>619000</v>
      </c>
      <c r="E11" s="50">
        <v>775000</v>
      </c>
      <c r="F11" s="50">
        <v>879000</v>
      </c>
      <c r="G11" s="17">
        <f t="shared" si="0"/>
        <v>2674000</v>
      </c>
      <c r="H11" s="17">
        <f t="shared" si="1"/>
        <v>149946.52010445198</v>
      </c>
      <c r="I11" s="17">
        <f t="shared" si="2"/>
        <v>2524053.479895548</v>
      </c>
    </row>
    <row r="12" spans="1:9" ht="15.75" customHeight="1" x14ac:dyDescent="0.25">
      <c r="A12" s="5" t="str">
        <f t="shared" si="3"/>
        <v/>
      </c>
      <c r="B12" s="49"/>
      <c r="C12" s="50"/>
      <c r="D12" s="50"/>
      <c r="E12" s="50"/>
      <c r="F12" s="50"/>
      <c r="G12" s="17"/>
      <c r="H12" s="17"/>
      <c r="I12" s="17"/>
    </row>
    <row r="13" spans="1:9" ht="15.75" customHeight="1" x14ac:dyDescent="0.25">
      <c r="A13" s="5" t="str">
        <f t="shared" si="3"/>
        <v/>
      </c>
      <c r="B13" s="49"/>
      <c r="C13" s="50"/>
      <c r="D13" s="50"/>
      <c r="E13" s="50"/>
      <c r="F13" s="50"/>
      <c r="G13" s="17"/>
      <c r="H13" s="17"/>
      <c r="I13" s="17"/>
    </row>
    <row r="14" spans="1:9" ht="15.75" customHeight="1" x14ac:dyDescent="0.25">
      <c r="A14" s="5" t="str">
        <f t="shared" si="3"/>
        <v/>
      </c>
      <c r="B14" s="49"/>
      <c r="C14" s="50"/>
      <c r="D14" s="50"/>
      <c r="E14" s="50"/>
      <c r="F14" s="50"/>
      <c r="G14" s="17"/>
      <c r="H14" s="17"/>
      <c r="I14" s="17"/>
    </row>
    <row r="15" spans="1:9" ht="15.75" customHeight="1" x14ac:dyDescent="0.25">
      <c r="A15" s="5" t="str">
        <f t="shared" si="3"/>
        <v/>
      </c>
      <c r="B15" s="49"/>
      <c r="C15" s="50"/>
      <c r="D15" s="50"/>
      <c r="E15" s="50"/>
      <c r="F15" s="50"/>
      <c r="G15" s="17"/>
      <c r="H15" s="17"/>
      <c r="I15" s="17"/>
    </row>
    <row r="16" spans="1:9" ht="15.75" customHeight="1" x14ac:dyDescent="0.25">
      <c r="A16" s="5" t="str">
        <f t="shared" si="3"/>
        <v/>
      </c>
      <c r="B16" s="49"/>
      <c r="C16" s="50"/>
      <c r="D16" s="50"/>
      <c r="E16" s="50"/>
      <c r="F16" s="50"/>
      <c r="G16" s="17"/>
      <c r="H16" s="17"/>
      <c r="I16" s="17"/>
    </row>
    <row r="17" spans="1:9" ht="15.75" customHeight="1" x14ac:dyDescent="0.25">
      <c r="A17" s="5" t="str">
        <f t="shared" si="3"/>
        <v/>
      </c>
      <c r="B17" s="49"/>
      <c r="C17" s="50"/>
      <c r="E17" s="50"/>
      <c r="F17" s="50"/>
      <c r="G17" s="17"/>
      <c r="H17" s="17"/>
      <c r="I17" s="17"/>
    </row>
    <row r="18" spans="1:9" ht="15.75" customHeight="1" x14ac:dyDescent="0.25">
      <c r="A18" s="5" t="str">
        <f t="shared" si="3"/>
        <v/>
      </c>
      <c r="B18" s="49"/>
      <c r="C18" s="50"/>
      <c r="D18" s="50"/>
      <c r="E18" s="50"/>
      <c r="F18" s="50"/>
      <c r="G18" s="17"/>
      <c r="H18" s="17"/>
      <c r="I18" s="17"/>
    </row>
    <row r="19" spans="1:9" ht="15.75" customHeight="1" x14ac:dyDescent="0.25">
      <c r="A19" s="5" t="str">
        <f t="shared" si="3"/>
        <v/>
      </c>
      <c r="B19" s="49"/>
      <c r="C19" s="50"/>
      <c r="D19" s="50"/>
      <c r="E19" s="50"/>
      <c r="F19" s="50"/>
      <c r="G19" s="17"/>
      <c r="H19" s="17"/>
      <c r="I19" s="17"/>
    </row>
    <row r="20" spans="1:9" ht="15.75" customHeight="1" x14ac:dyDescent="0.25">
      <c r="A20" s="5" t="str">
        <f t="shared" si="3"/>
        <v/>
      </c>
      <c r="B20" s="49"/>
      <c r="C20" s="50"/>
      <c r="D20" s="50"/>
      <c r="E20" s="50"/>
      <c r="F20" s="50"/>
      <c r="G20" s="17"/>
      <c r="H20" s="17"/>
      <c r="I20" s="17"/>
    </row>
    <row r="21" spans="1:9" ht="15.75" customHeight="1" x14ac:dyDescent="0.25">
      <c r="A21" s="5" t="str">
        <f t="shared" si="3"/>
        <v/>
      </c>
      <c r="B21" s="49"/>
      <c r="C21" s="50"/>
      <c r="D21" s="50"/>
      <c r="E21" s="50"/>
      <c r="F21" s="50"/>
      <c r="G21" s="17"/>
      <c r="H21" s="17"/>
      <c r="I21" s="17"/>
    </row>
    <row r="22" spans="1:9" ht="15.75" customHeight="1" x14ac:dyDescent="0.25">
      <c r="A22" s="5" t="str">
        <f t="shared" si="3"/>
        <v/>
      </c>
      <c r="B22" s="49"/>
      <c r="C22" s="50"/>
      <c r="D22" s="50"/>
      <c r="E22" s="50"/>
      <c r="F22" s="50"/>
      <c r="G22" s="17"/>
      <c r="H22" s="17"/>
      <c r="I22" s="17"/>
    </row>
    <row r="23" spans="1:9" ht="15.75" customHeight="1" x14ac:dyDescent="0.25">
      <c r="A23" s="5" t="str">
        <f t="shared" si="3"/>
        <v/>
      </c>
      <c r="B23" s="49"/>
      <c r="C23" s="50"/>
      <c r="D23" s="50"/>
      <c r="E23" s="50"/>
      <c r="F23" s="50"/>
      <c r="G23" s="17"/>
      <c r="H23" s="17"/>
      <c r="I23" s="17"/>
    </row>
    <row r="24" spans="1:9" ht="15.75" customHeight="1" x14ac:dyDescent="0.25">
      <c r="A24" s="5" t="str">
        <f t="shared" si="3"/>
        <v/>
      </c>
      <c r="B24" s="49"/>
      <c r="C24" s="50"/>
      <c r="D24" s="50"/>
      <c r="E24" s="50"/>
      <c r="F24" s="50"/>
      <c r="G24" s="17"/>
      <c r="H24" s="17"/>
      <c r="I24" s="17"/>
    </row>
    <row r="25" spans="1:9" ht="15.75" customHeight="1" x14ac:dyDescent="0.25">
      <c r="A25" s="5" t="str">
        <f t="shared" si="3"/>
        <v/>
      </c>
      <c r="B25" s="49"/>
      <c r="C25" s="50"/>
      <c r="D25" s="50"/>
      <c r="E25" s="50"/>
      <c r="F25" s="50"/>
      <c r="G25" s="17"/>
      <c r="H25" s="17"/>
      <c r="I25" s="17"/>
    </row>
    <row r="26" spans="1:9" ht="15.75" customHeight="1" x14ac:dyDescent="0.25">
      <c r="A26" s="5" t="str">
        <f t="shared" si="3"/>
        <v/>
      </c>
      <c r="B26" s="49"/>
      <c r="C26" s="50"/>
      <c r="D26" s="50"/>
      <c r="E26" s="50"/>
      <c r="F26" s="50"/>
      <c r="G26" s="17"/>
      <c r="H26" s="17"/>
      <c r="I26" s="17"/>
    </row>
    <row r="27" spans="1:9" ht="15.75" customHeight="1" x14ac:dyDescent="0.25">
      <c r="A27" s="5" t="str">
        <f t="shared" si="3"/>
        <v/>
      </c>
      <c r="B27" s="49"/>
      <c r="C27" s="50"/>
      <c r="D27" s="50"/>
      <c r="E27" s="50"/>
      <c r="F27" s="50"/>
      <c r="G27" s="17"/>
      <c r="H27" s="17"/>
      <c r="I27" s="17"/>
    </row>
    <row r="28" spans="1:9" ht="15.75" customHeight="1" x14ac:dyDescent="0.25">
      <c r="A28" s="5" t="str">
        <f t="shared" si="3"/>
        <v/>
      </c>
      <c r="B28" s="49"/>
      <c r="C28" s="50"/>
      <c r="D28" s="50"/>
      <c r="E28" s="50"/>
      <c r="F28" s="50"/>
      <c r="G28" s="17"/>
      <c r="H28" s="17"/>
      <c r="I28" s="17"/>
    </row>
    <row r="29" spans="1:9" ht="15.75" customHeight="1" x14ac:dyDescent="0.25">
      <c r="A29" s="5" t="str">
        <f t="shared" si="3"/>
        <v/>
      </c>
      <c r="B29" s="49"/>
      <c r="C29" s="50"/>
      <c r="D29" s="50"/>
      <c r="E29" s="50"/>
      <c r="F29" s="50"/>
      <c r="G29" s="17"/>
      <c r="H29" s="17"/>
      <c r="I29" s="17"/>
    </row>
    <row r="30" spans="1:9" ht="15.75" customHeight="1" x14ac:dyDescent="0.25">
      <c r="A30" s="5" t="str">
        <f t="shared" si="3"/>
        <v/>
      </c>
      <c r="B30" s="49"/>
      <c r="C30" s="50"/>
      <c r="D30" s="50"/>
      <c r="E30" s="50"/>
      <c r="F30" s="50"/>
      <c r="G30" s="17"/>
      <c r="H30" s="17"/>
      <c r="I30" s="17"/>
    </row>
    <row r="31" spans="1:9" ht="15.75" customHeight="1" x14ac:dyDescent="0.25">
      <c r="A31" s="5" t="str">
        <f t="shared" si="3"/>
        <v/>
      </c>
      <c r="B31" s="49"/>
      <c r="C31" s="50"/>
      <c r="D31" s="50"/>
      <c r="E31" s="50"/>
      <c r="F31" s="50"/>
      <c r="G31" s="17"/>
      <c r="H31" s="17"/>
      <c r="I31" s="17"/>
    </row>
    <row r="32" spans="1:9" ht="15.75" customHeight="1" x14ac:dyDescent="0.25">
      <c r="A32" s="5" t="str">
        <f t="shared" si="3"/>
        <v/>
      </c>
      <c r="B32" s="49"/>
      <c r="C32" s="50"/>
      <c r="D32" s="50"/>
      <c r="E32" s="50"/>
      <c r="F32" s="50"/>
      <c r="G32" s="17"/>
      <c r="H32" s="17"/>
      <c r="I32" s="17"/>
    </row>
    <row r="33" spans="1:9" ht="15.75" customHeight="1" x14ac:dyDescent="0.25">
      <c r="A33" s="5" t="str">
        <f t="shared" si="3"/>
        <v/>
      </c>
      <c r="B33" s="49"/>
      <c r="C33" s="50"/>
      <c r="D33" s="50"/>
      <c r="E33" s="50"/>
      <c r="F33" s="50"/>
      <c r="G33" s="17"/>
      <c r="H33" s="17"/>
      <c r="I33" s="17"/>
    </row>
    <row r="34" spans="1:9" ht="15.75" customHeight="1" x14ac:dyDescent="0.25">
      <c r="A34" s="5" t="str">
        <f t="shared" si="3"/>
        <v/>
      </c>
      <c r="B34" s="49"/>
      <c r="C34" s="50"/>
      <c r="D34" s="50"/>
      <c r="E34" s="50"/>
      <c r="F34" s="50"/>
      <c r="G34" s="17"/>
      <c r="H34" s="17"/>
      <c r="I34" s="17"/>
    </row>
    <row r="35" spans="1:9" ht="15.75" customHeight="1" x14ac:dyDescent="0.25">
      <c r="A35" s="5" t="str">
        <f t="shared" si="3"/>
        <v/>
      </c>
      <c r="B35" s="49"/>
      <c r="C35" s="50"/>
      <c r="D35" s="50"/>
      <c r="E35" s="50"/>
      <c r="F35" s="50"/>
      <c r="G35" s="17"/>
      <c r="H35" s="17"/>
      <c r="I35" s="17"/>
    </row>
    <row r="36" spans="1:9" ht="15.75" customHeight="1" x14ac:dyDescent="0.25">
      <c r="A36" s="5" t="str">
        <f t="shared" si="3"/>
        <v/>
      </c>
      <c r="B36" s="49"/>
      <c r="C36" s="50"/>
      <c r="D36" s="50"/>
      <c r="E36" s="50"/>
      <c r="F36" s="50"/>
      <c r="G36" s="17"/>
      <c r="H36" s="17"/>
      <c r="I36" s="17"/>
    </row>
    <row r="37" spans="1:9" ht="15.75" customHeight="1" x14ac:dyDescent="0.25">
      <c r="A37" s="5" t="str">
        <f t="shared" si="3"/>
        <v/>
      </c>
      <c r="B37" s="49"/>
      <c r="C37" s="50"/>
      <c r="D37" s="50"/>
      <c r="E37" s="50"/>
      <c r="F37" s="50"/>
      <c r="G37" s="17"/>
      <c r="H37" s="17"/>
      <c r="I37" s="17"/>
    </row>
    <row r="38" spans="1:9" ht="15.75" customHeight="1" x14ac:dyDescent="0.25">
      <c r="A38" s="5" t="str">
        <f t="shared" si="3"/>
        <v/>
      </c>
      <c r="B38" s="49"/>
      <c r="C38" s="50"/>
      <c r="D38" s="50"/>
      <c r="E38" s="50"/>
      <c r="F38" s="50"/>
      <c r="G38" s="17">
        <f>C38+D38+E38+F38</f>
        <v>0</v>
      </c>
      <c r="H38" s="17">
        <f>(B38 + stillbirth*B38/(1000-stillbirth))/(1-abortion)</f>
        <v>0</v>
      </c>
      <c r="I38" s="17">
        <f>G38-H38</f>
        <v>0</v>
      </c>
    </row>
    <row r="39" spans="1:9" ht="15.75" customHeight="1" x14ac:dyDescent="0.25">
      <c r="A39" s="5" t="str">
        <f t="shared" si="3"/>
        <v/>
      </c>
      <c r="B39" s="49"/>
      <c r="C39" s="50"/>
      <c r="D39" s="50"/>
      <c r="E39" s="50"/>
      <c r="F39" s="50"/>
      <c r="G39" s="17">
        <f>C39+D39+E39+F39</f>
        <v>0</v>
      </c>
      <c r="H39" s="17">
        <f>(B39 + stillbirth*B39/(1000-stillbirth))/(1-abortion)</f>
        <v>0</v>
      </c>
      <c r="I39" s="17">
        <f>G39-H39</f>
        <v>0</v>
      </c>
    </row>
    <row r="40" spans="1:9" ht="15.75" customHeight="1" x14ac:dyDescent="0.25">
      <c r="A40" s="5" t="str">
        <f t="shared" si="3"/>
        <v/>
      </c>
      <c r="B40" s="49"/>
      <c r="C40" s="50"/>
      <c r="D40" s="50"/>
      <c r="E40" s="50"/>
      <c r="F40" s="50"/>
      <c r="G40" s="17">
        <f>C40+D40+E40+F40</f>
        <v>0</v>
      </c>
      <c r="H40" s="17">
        <f>(B40 + stillbirth*B40/(1000-stillbirth))/(1-abortion)</f>
        <v>0</v>
      </c>
      <c r="I40" s="17">
        <f>G40-H40</f>
        <v>0</v>
      </c>
    </row>
  </sheetData>
  <sheetProtection algorithmName="SHA-512" hashValue="b3zuR9hAPFKmhyUPgxSBwpwr0L8i4PvaW2CunfDaw9hwq0s+u3YPrQFKBT82DJ5eJ424U2PP38ojcCo53DV0Pw==" saltValue="mehRfJSA9N1k+XdaDNGXRA==" spinCount="100000" sheet="1" selectLockedCells="1"/>
  <conditionalFormatting sqref="B2:I16 B17:C17 E17:I17 B18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48.08984375" style="8" customWidth="1"/>
    <col min="2" max="2" width="15" style="8" customWidth="1"/>
    <col min="3" max="3" width="14.6328125" style="8" customWidth="1"/>
    <col min="4" max="4" width="12.81640625" style="8" customWidth="1"/>
    <col min="5" max="16384" width="12.81640625" style="8"/>
  </cols>
  <sheetData>
    <row r="1" spans="1:10" ht="13" customHeight="1" x14ac:dyDescent="0.3">
      <c r="A1" s="4" t="s">
        <v>231</v>
      </c>
      <c r="B1" s="4" t="s">
        <v>144</v>
      </c>
      <c r="C1" s="4" t="s">
        <v>159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10" ht="13" customHeight="1" x14ac:dyDescent="0.3">
      <c r="A2" s="4" t="s">
        <v>232</v>
      </c>
      <c r="B2" s="103" t="s">
        <v>90</v>
      </c>
      <c r="C2" s="8" t="s">
        <v>145</v>
      </c>
      <c r="D2" s="88">
        <v>1</v>
      </c>
      <c r="E2" s="88">
        <v>1</v>
      </c>
      <c r="F2" s="88">
        <v>1</v>
      </c>
      <c r="G2" s="88">
        <v>1</v>
      </c>
      <c r="H2" s="88">
        <v>1</v>
      </c>
    </row>
    <row r="3" spans="1:10" x14ac:dyDescent="0.25">
      <c r="B3" s="104"/>
      <c r="C3" s="8" t="s">
        <v>146</v>
      </c>
      <c r="D3" s="88">
        <v>1</v>
      </c>
      <c r="E3" s="88">
        <v>1</v>
      </c>
      <c r="F3" s="88">
        <v>1</v>
      </c>
      <c r="G3" s="88">
        <v>1</v>
      </c>
      <c r="H3" s="88">
        <v>1</v>
      </c>
      <c r="J3" s="64"/>
    </row>
    <row r="4" spans="1:10" x14ac:dyDescent="0.25">
      <c r="B4" s="104"/>
      <c r="C4" s="8" t="s">
        <v>147</v>
      </c>
      <c r="D4" s="88">
        <v>1</v>
      </c>
      <c r="E4" s="88">
        <v>1</v>
      </c>
      <c r="F4" s="88">
        <v>1</v>
      </c>
      <c r="G4" s="88">
        <v>1</v>
      </c>
      <c r="H4" s="88">
        <v>1</v>
      </c>
      <c r="J4" s="64"/>
    </row>
    <row r="5" spans="1:10" x14ac:dyDescent="0.25">
      <c r="B5" s="103" t="s">
        <v>67</v>
      </c>
      <c r="C5" s="8" t="s">
        <v>145</v>
      </c>
      <c r="D5" s="88">
        <f>IF(ISBLANK('Breastfeeding distribution'!$C$2),1.56,(1.56-'Breastfeeding distribution'!$C$2)/(1-'Breastfeeding distribution'!$C$2))</f>
        <v>1.7232106929289208</v>
      </c>
      <c r="E5" s="88">
        <v>1</v>
      </c>
      <c r="F5" s="88">
        <v>1</v>
      </c>
      <c r="G5" s="88">
        <v>1</v>
      </c>
      <c r="H5" s="88">
        <v>1</v>
      </c>
    </row>
    <row r="6" spans="1:10" x14ac:dyDescent="0.25">
      <c r="B6" s="104"/>
      <c r="C6" s="8" t="s">
        <v>146</v>
      </c>
      <c r="D6" s="88">
        <f>IF(ISBLANK('Breastfeeding distribution'!$C$2),1.56,(1.56-'Breastfeeding distribution'!$C$2)/(1-'Breastfeeding distribution'!$C$2))</f>
        <v>1.7232106929289208</v>
      </c>
      <c r="E6" s="88">
        <v>1</v>
      </c>
      <c r="F6" s="88">
        <v>1</v>
      </c>
      <c r="G6" s="88">
        <v>1</v>
      </c>
      <c r="H6" s="88">
        <v>1</v>
      </c>
    </row>
    <row r="7" spans="1:10" x14ac:dyDescent="0.25">
      <c r="B7" s="104"/>
      <c r="C7" s="8" t="s">
        <v>147</v>
      </c>
      <c r="D7" s="88">
        <v>1</v>
      </c>
      <c r="E7" s="88">
        <v>1</v>
      </c>
      <c r="F7" s="88">
        <v>1</v>
      </c>
      <c r="G7" s="88">
        <v>1</v>
      </c>
      <c r="H7" s="88">
        <v>1</v>
      </c>
    </row>
    <row r="8" spans="1:10" x14ac:dyDescent="0.25">
      <c r="B8" s="103" t="s">
        <v>77</v>
      </c>
      <c r="C8" s="8" t="s">
        <v>145</v>
      </c>
      <c r="D8" s="88">
        <v>1</v>
      </c>
      <c r="E8" s="88">
        <f>IF(ISBLANK('Breastfeeding distribution'!$D$2),1.56,(1.56-'Breastfeeding distribution'!$D$2)/(1-'Breastfeeding distribution'!$D$2))</f>
        <v>1.6124894182882843</v>
      </c>
      <c r="F8" s="88">
        <v>1</v>
      </c>
      <c r="G8" s="88">
        <v>1</v>
      </c>
      <c r="H8" s="88">
        <v>1</v>
      </c>
    </row>
    <row r="9" spans="1:10" x14ac:dyDescent="0.25">
      <c r="B9" s="104"/>
      <c r="C9" s="8" t="s">
        <v>146</v>
      </c>
      <c r="D9" s="88">
        <v>1</v>
      </c>
      <c r="E9" s="88">
        <f>IF(ISBLANK('Breastfeeding distribution'!$D$2),1.56,(1.56-'Breastfeeding distribution'!$D$2)/(1-'Breastfeeding distribution'!$D$2))</f>
        <v>1.6124894182882843</v>
      </c>
      <c r="F9" s="88">
        <v>1</v>
      </c>
      <c r="G9" s="88">
        <v>1</v>
      </c>
      <c r="H9" s="88">
        <v>1</v>
      </c>
    </row>
    <row r="10" spans="1:10" x14ac:dyDescent="0.25">
      <c r="B10" s="104"/>
      <c r="C10" s="8" t="s">
        <v>147</v>
      </c>
      <c r="D10" s="88">
        <v>1</v>
      </c>
      <c r="E10" s="88">
        <v>1</v>
      </c>
      <c r="F10" s="88">
        <v>1</v>
      </c>
      <c r="G10" s="88">
        <v>1</v>
      </c>
      <c r="H10" s="88">
        <v>1</v>
      </c>
    </row>
    <row r="11" spans="1:10" x14ac:dyDescent="0.25">
      <c r="B11" s="103" t="s">
        <v>78</v>
      </c>
      <c r="C11" s="8" t="s">
        <v>145</v>
      </c>
      <c r="D11" s="88">
        <v>1</v>
      </c>
      <c r="E11" s="88">
        <v>1</v>
      </c>
      <c r="F11" s="88">
        <v>1.73</v>
      </c>
      <c r="G11" s="88">
        <v>1</v>
      </c>
      <c r="H11" s="88">
        <v>1</v>
      </c>
    </row>
    <row r="12" spans="1:10" x14ac:dyDescent="0.25">
      <c r="B12" s="104"/>
      <c r="C12" s="8" t="s">
        <v>146</v>
      </c>
      <c r="D12" s="88">
        <v>1</v>
      </c>
      <c r="E12" s="88">
        <v>1</v>
      </c>
      <c r="F12" s="88">
        <v>1.73</v>
      </c>
      <c r="G12" s="88">
        <v>1</v>
      </c>
      <c r="H12" s="88">
        <v>1</v>
      </c>
    </row>
    <row r="13" spans="1:10" x14ac:dyDescent="0.25">
      <c r="B13" s="104"/>
      <c r="C13" s="8" t="s">
        <v>147</v>
      </c>
      <c r="D13" s="88">
        <v>1</v>
      </c>
      <c r="E13" s="88">
        <v>1</v>
      </c>
      <c r="F13" s="88">
        <v>1</v>
      </c>
      <c r="G13" s="88">
        <v>1</v>
      </c>
      <c r="H13" s="88">
        <v>1</v>
      </c>
    </row>
    <row r="14" spans="1:10" x14ac:dyDescent="0.25">
      <c r="B14" s="103" t="s">
        <v>79</v>
      </c>
      <c r="C14" s="8" t="s">
        <v>145</v>
      </c>
      <c r="D14" s="88">
        <v>1</v>
      </c>
      <c r="E14" s="88">
        <v>1</v>
      </c>
      <c r="F14" s="88">
        <v>1</v>
      </c>
      <c r="G14" s="88">
        <v>1.73</v>
      </c>
      <c r="H14" s="88">
        <v>1</v>
      </c>
    </row>
    <row r="15" spans="1:10" x14ac:dyDescent="0.25">
      <c r="B15" s="104"/>
      <c r="C15" s="8" t="s">
        <v>146</v>
      </c>
      <c r="D15" s="88">
        <v>1</v>
      </c>
      <c r="E15" s="88">
        <v>1</v>
      </c>
      <c r="F15" s="88">
        <v>1</v>
      </c>
      <c r="G15" s="88">
        <v>1.73</v>
      </c>
      <c r="H15" s="88">
        <v>1</v>
      </c>
    </row>
    <row r="16" spans="1:10" x14ac:dyDescent="0.25">
      <c r="B16" s="104"/>
      <c r="C16" s="8" t="s">
        <v>147</v>
      </c>
      <c r="D16" s="88">
        <v>1</v>
      </c>
      <c r="E16" s="88">
        <v>1</v>
      </c>
      <c r="F16" s="88">
        <v>1</v>
      </c>
      <c r="G16" s="88">
        <v>1</v>
      </c>
      <c r="H16" s="88">
        <v>1</v>
      </c>
    </row>
    <row r="17" spans="1:8" ht="13" customHeight="1" x14ac:dyDescent="0.25">
      <c r="B17" s="65" t="s">
        <v>150</v>
      </c>
      <c r="C17" s="8" t="s">
        <v>147</v>
      </c>
      <c r="D17" s="88">
        <v>1.05</v>
      </c>
      <c r="E17" s="88">
        <v>1.05</v>
      </c>
      <c r="F17" s="88">
        <v>1.05</v>
      </c>
      <c r="G17" s="88">
        <v>1.05</v>
      </c>
      <c r="H17" s="88">
        <v>1</v>
      </c>
    </row>
    <row r="18" spans="1:8" x14ac:dyDescent="0.25">
      <c r="D18" s="86"/>
      <c r="E18" s="86"/>
      <c r="F18" s="86"/>
      <c r="G18" s="86"/>
      <c r="H18" s="86"/>
    </row>
    <row r="19" spans="1:8" ht="13" customHeight="1" x14ac:dyDescent="0.3">
      <c r="A19" s="4" t="s">
        <v>233</v>
      </c>
      <c r="B19" s="103" t="s">
        <v>90</v>
      </c>
      <c r="C19" s="8" t="s">
        <v>145</v>
      </c>
      <c r="D19" s="88">
        <v>1</v>
      </c>
      <c r="E19" s="88">
        <v>1</v>
      </c>
      <c r="F19" s="88">
        <v>0.98</v>
      </c>
      <c r="G19" s="88">
        <v>0.98</v>
      </c>
      <c r="H19" s="88">
        <v>1</v>
      </c>
    </row>
    <row r="20" spans="1:8" x14ac:dyDescent="0.25">
      <c r="B20" s="104"/>
      <c r="C20" s="8" t="s">
        <v>146</v>
      </c>
      <c r="D20" s="88">
        <v>1</v>
      </c>
      <c r="E20" s="88">
        <v>1</v>
      </c>
      <c r="F20" s="88">
        <v>0.98</v>
      </c>
      <c r="G20" s="88">
        <v>0.98</v>
      </c>
      <c r="H20" s="88">
        <v>1</v>
      </c>
    </row>
    <row r="21" spans="1:8" x14ac:dyDescent="0.25">
      <c r="B21" s="104"/>
      <c r="C21" s="8" t="s">
        <v>147</v>
      </c>
      <c r="D21" s="88">
        <v>1</v>
      </c>
      <c r="E21" s="88">
        <v>1</v>
      </c>
      <c r="F21" s="88">
        <v>0.99</v>
      </c>
      <c r="G21" s="88">
        <v>0.99</v>
      </c>
      <c r="H21" s="88">
        <v>1</v>
      </c>
    </row>
    <row r="22" spans="1:8" x14ac:dyDescent="0.25">
      <c r="B22" s="103" t="s">
        <v>67</v>
      </c>
      <c r="C22" s="8" t="s">
        <v>145</v>
      </c>
      <c r="D22" s="88">
        <v>1</v>
      </c>
      <c r="E22" s="88">
        <v>1</v>
      </c>
      <c r="F22" s="88">
        <v>1</v>
      </c>
      <c r="G22" s="88">
        <v>1</v>
      </c>
      <c r="H22" s="88">
        <v>1</v>
      </c>
    </row>
    <row r="23" spans="1:8" x14ac:dyDescent="0.25">
      <c r="B23" s="104"/>
      <c r="C23" s="8" t="s">
        <v>146</v>
      </c>
      <c r="D23" s="88">
        <v>1</v>
      </c>
      <c r="E23" s="88">
        <v>1</v>
      </c>
      <c r="F23" s="88">
        <v>1</v>
      </c>
      <c r="G23" s="88">
        <v>1</v>
      </c>
      <c r="H23" s="88">
        <v>1</v>
      </c>
    </row>
    <row r="24" spans="1:8" x14ac:dyDescent="0.25">
      <c r="B24" s="104"/>
      <c r="C24" s="8" t="s">
        <v>147</v>
      </c>
      <c r="D24" s="88">
        <v>1</v>
      </c>
      <c r="E24" s="88">
        <v>1</v>
      </c>
      <c r="F24" s="88">
        <v>0.99</v>
      </c>
      <c r="G24" s="88">
        <v>0.99</v>
      </c>
      <c r="H24" s="88">
        <v>1</v>
      </c>
    </row>
    <row r="25" spans="1:8" x14ac:dyDescent="0.25">
      <c r="B25" s="103" t="s">
        <v>77</v>
      </c>
      <c r="C25" s="8" t="s">
        <v>145</v>
      </c>
      <c r="D25" s="88">
        <v>1</v>
      </c>
      <c r="E25" s="88">
        <v>1</v>
      </c>
      <c r="F25" s="88">
        <v>1</v>
      </c>
      <c r="G25" s="88">
        <v>1</v>
      </c>
      <c r="H25" s="88">
        <v>1</v>
      </c>
    </row>
    <row r="26" spans="1:8" x14ac:dyDescent="0.25">
      <c r="B26" s="104"/>
      <c r="C26" s="8" t="s">
        <v>146</v>
      </c>
      <c r="D26" s="88">
        <v>1</v>
      </c>
      <c r="E26" s="88">
        <v>1</v>
      </c>
      <c r="F26" s="88">
        <v>1</v>
      </c>
      <c r="G26" s="88">
        <v>1</v>
      </c>
      <c r="H26" s="88">
        <v>1</v>
      </c>
    </row>
    <row r="27" spans="1:8" x14ac:dyDescent="0.25">
      <c r="B27" s="104"/>
      <c r="C27" s="8" t="s">
        <v>147</v>
      </c>
      <c r="D27" s="88">
        <v>1</v>
      </c>
      <c r="E27" s="88">
        <v>1</v>
      </c>
      <c r="F27" s="88">
        <v>0.99</v>
      </c>
      <c r="G27" s="88">
        <v>0.99</v>
      </c>
      <c r="H27" s="88">
        <v>1</v>
      </c>
    </row>
    <row r="28" spans="1:8" x14ac:dyDescent="0.25">
      <c r="B28" s="103" t="s">
        <v>78</v>
      </c>
      <c r="C28" s="8" t="s">
        <v>145</v>
      </c>
      <c r="D28" s="88">
        <v>1</v>
      </c>
      <c r="E28" s="88">
        <v>1</v>
      </c>
      <c r="F28" s="88">
        <v>0.78</v>
      </c>
      <c r="G28" s="88">
        <v>1</v>
      </c>
      <c r="H28" s="88">
        <v>1</v>
      </c>
    </row>
    <row r="29" spans="1:8" x14ac:dyDescent="0.25">
      <c r="B29" s="104"/>
      <c r="C29" s="8" t="s">
        <v>146</v>
      </c>
      <c r="D29" s="88">
        <v>1</v>
      </c>
      <c r="E29" s="88">
        <v>1</v>
      </c>
      <c r="F29" s="88">
        <v>0.78</v>
      </c>
      <c r="G29" s="88">
        <v>1</v>
      </c>
      <c r="H29" s="88">
        <v>1</v>
      </c>
    </row>
    <row r="30" spans="1:8" x14ac:dyDescent="0.25">
      <c r="B30" s="104"/>
      <c r="C30" s="8" t="s">
        <v>147</v>
      </c>
      <c r="D30" s="88">
        <v>1</v>
      </c>
      <c r="E30" s="88">
        <v>1</v>
      </c>
      <c r="F30" s="88">
        <v>0.99</v>
      </c>
      <c r="G30" s="88">
        <v>0.99</v>
      </c>
      <c r="H30" s="88">
        <v>1</v>
      </c>
    </row>
    <row r="31" spans="1:8" x14ac:dyDescent="0.25">
      <c r="B31" s="103" t="s">
        <v>79</v>
      </c>
      <c r="C31" s="8" t="s">
        <v>145</v>
      </c>
      <c r="D31" s="88">
        <v>1</v>
      </c>
      <c r="E31" s="88">
        <v>1</v>
      </c>
      <c r="F31" s="88">
        <v>1</v>
      </c>
      <c r="G31" s="88">
        <v>0.78</v>
      </c>
      <c r="H31" s="88">
        <v>1</v>
      </c>
    </row>
    <row r="32" spans="1:8" x14ac:dyDescent="0.25">
      <c r="B32" s="104"/>
      <c r="C32" s="8" t="s">
        <v>146</v>
      </c>
      <c r="D32" s="88">
        <v>1</v>
      </c>
      <c r="E32" s="88">
        <v>1</v>
      </c>
      <c r="F32" s="88">
        <v>1</v>
      </c>
      <c r="G32" s="88">
        <v>0.78</v>
      </c>
      <c r="H32" s="88">
        <v>1</v>
      </c>
    </row>
    <row r="33" spans="1:8" x14ac:dyDescent="0.25">
      <c r="B33" s="104"/>
      <c r="C33" s="8" t="s">
        <v>147</v>
      </c>
      <c r="D33" s="88">
        <v>1</v>
      </c>
      <c r="E33" s="88">
        <v>1</v>
      </c>
      <c r="F33" s="88">
        <v>1</v>
      </c>
      <c r="G33" s="88">
        <v>0.99</v>
      </c>
      <c r="H33" s="88">
        <v>1</v>
      </c>
    </row>
    <row r="34" spans="1:8" ht="13" customHeight="1" x14ac:dyDescent="0.25">
      <c r="B34" s="65" t="s">
        <v>150</v>
      </c>
      <c r="C34" s="8" t="s">
        <v>147</v>
      </c>
      <c r="D34" s="88">
        <v>1</v>
      </c>
      <c r="E34" s="88">
        <v>1</v>
      </c>
      <c r="F34" s="88">
        <v>0.95</v>
      </c>
      <c r="G34" s="88">
        <v>0.95</v>
      </c>
      <c r="H34" s="88">
        <v>1</v>
      </c>
    </row>
    <row r="35" spans="1:8" x14ac:dyDescent="0.25">
      <c r="D35" s="86"/>
      <c r="E35" s="86"/>
      <c r="F35" s="86"/>
      <c r="G35" s="86"/>
      <c r="H35" s="86"/>
    </row>
    <row r="36" spans="1:8" ht="13" customHeight="1" x14ac:dyDescent="0.3">
      <c r="A36" s="66" t="s">
        <v>234</v>
      </c>
      <c r="B36" s="103" t="s">
        <v>90</v>
      </c>
      <c r="C36" s="8" t="s">
        <v>145</v>
      </c>
      <c r="D36" s="88">
        <v>1</v>
      </c>
      <c r="E36" s="88">
        <v>1</v>
      </c>
      <c r="F36" s="88">
        <v>1</v>
      </c>
      <c r="G36" s="88">
        <v>1</v>
      </c>
      <c r="H36" s="88">
        <v>1</v>
      </c>
    </row>
    <row r="37" spans="1:8" x14ac:dyDescent="0.25">
      <c r="B37" s="104"/>
      <c r="C37" s="8" t="s">
        <v>146</v>
      </c>
      <c r="D37" s="88">
        <v>1</v>
      </c>
      <c r="E37" s="88">
        <v>1</v>
      </c>
      <c r="F37" s="88">
        <v>1</v>
      </c>
      <c r="G37" s="88">
        <v>1</v>
      </c>
      <c r="H37" s="88">
        <v>1</v>
      </c>
    </row>
    <row r="38" spans="1:8" x14ac:dyDescent="0.25">
      <c r="B38" s="104"/>
      <c r="C38" s="8" t="s">
        <v>147</v>
      </c>
      <c r="D38" s="88">
        <v>1</v>
      </c>
      <c r="E38" s="88">
        <v>1</v>
      </c>
      <c r="F38" s="88">
        <v>1</v>
      </c>
      <c r="G38" s="88">
        <v>1</v>
      </c>
      <c r="H38" s="88">
        <v>1</v>
      </c>
    </row>
    <row r="39" spans="1:8" x14ac:dyDescent="0.25">
      <c r="B39" s="103" t="s">
        <v>67</v>
      </c>
      <c r="C39" s="8" t="s">
        <v>145</v>
      </c>
      <c r="D39" s="88">
        <v>1</v>
      </c>
      <c r="E39" s="88">
        <v>1</v>
      </c>
      <c r="F39" s="88">
        <v>1</v>
      </c>
      <c r="G39" s="88">
        <v>1</v>
      </c>
      <c r="H39" s="88">
        <v>1</v>
      </c>
    </row>
    <row r="40" spans="1:8" x14ac:dyDescent="0.25">
      <c r="B40" s="104"/>
      <c r="C40" s="8" t="s">
        <v>146</v>
      </c>
      <c r="D40" s="88">
        <v>1</v>
      </c>
      <c r="E40" s="88">
        <v>1</v>
      </c>
      <c r="F40" s="88">
        <v>1</v>
      </c>
      <c r="G40" s="88">
        <v>1</v>
      </c>
      <c r="H40" s="88">
        <v>1</v>
      </c>
    </row>
    <row r="41" spans="1:8" x14ac:dyDescent="0.25">
      <c r="B41" s="104"/>
      <c r="C41" s="8" t="s">
        <v>147</v>
      </c>
      <c r="D41" s="88">
        <v>1</v>
      </c>
      <c r="E41" s="88">
        <v>1</v>
      </c>
      <c r="F41" s="88">
        <v>1</v>
      </c>
      <c r="G41" s="88">
        <v>1</v>
      </c>
      <c r="H41" s="88">
        <v>1</v>
      </c>
    </row>
    <row r="42" spans="1:8" x14ac:dyDescent="0.25">
      <c r="B42" s="103" t="s">
        <v>77</v>
      </c>
      <c r="C42" s="8" t="s">
        <v>145</v>
      </c>
      <c r="D42" s="88">
        <v>1</v>
      </c>
      <c r="E42" s="88">
        <v>1</v>
      </c>
      <c r="F42" s="88">
        <v>1</v>
      </c>
      <c r="G42" s="88">
        <v>1</v>
      </c>
      <c r="H42" s="88">
        <v>1</v>
      </c>
    </row>
    <row r="43" spans="1:8" x14ac:dyDescent="0.25">
      <c r="B43" s="104"/>
      <c r="C43" s="8" t="s">
        <v>146</v>
      </c>
      <c r="D43" s="88">
        <v>1</v>
      </c>
      <c r="E43" s="88">
        <v>1</v>
      </c>
      <c r="F43" s="88">
        <v>1</v>
      </c>
      <c r="G43" s="88">
        <v>1</v>
      </c>
      <c r="H43" s="88">
        <v>1</v>
      </c>
    </row>
    <row r="44" spans="1:8" x14ac:dyDescent="0.25">
      <c r="B44" s="104"/>
      <c r="C44" s="8" t="s">
        <v>147</v>
      </c>
      <c r="D44" s="88">
        <v>1</v>
      </c>
      <c r="E44" s="88">
        <v>1</v>
      </c>
      <c r="F44" s="88">
        <v>1</v>
      </c>
      <c r="G44" s="88">
        <v>1</v>
      </c>
      <c r="H44" s="88">
        <v>1</v>
      </c>
    </row>
    <row r="45" spans="1:8" x14ac:dyDescent="0.25">
      <c r="B45" s="103" t="s">
        <v>78</v>
      </c>
      <c r="C45" s="8" t="s">
        <v>145</v>
      </c>
      <c r="D45" s="88">
        <v>1</v>
      </c>
      <c r="E45" s="88">
        <v>1</v>
      </c>
      <c r="F45" s="88">
        <v>1.82</v>
      </c>
      <c r="G45" s="88">
        <v>1</v>
      </c>
      <c r="H45" s="88">
        <v>1</v>
      </c>
    </row>
    <row r="46" spans="1:8" x14ac:dyDescent="0.25">
      <c r="B46" s="104"/>
      <c r="C46" s="8" t="s">
        <v>146</v>
      </c>
      <c r="D46" s="88">
        <v>1</v>
      </c>
      <c r="E46" s="88">
        <v>1</v>
      </c>
      <c r="F46" s="88">
        <v>1.82</v>
      </c>
      <c r="G46" s="88">
        <v>1</v>
      </c>
      <c r="H46" s="88">
        <v>1</v>
      </c>
    </row>
    <row r="47" spans="1:8" x14ac:dyDescent="0.25">
      <c r="B47" s="104"/>
      <c r="C47" s="8" t="s">
        <v>147</v>
      </c>
      <c r="D47" s="88">
        <v>1</v>
      </c>
      <c r="E47" s="88">
        <v>1</v>
      </c>
      <c r="F47" s="88">
        <v>1</v>
      </c>
      <c r="G47" s="88">
        <v>1</v>
      </c>
      <c r="H47" s="88">
        <v>1</v>
      </c>
    </row>
    <row r="48" spans="1:8" x14ac:dyDescent="0.25">
      <c r="B48" s="103" t="s">
        <v>79</v>
      </c>
      <c r="C48" s="8" t="s">
        <v>145</v>
      </c>
      <c r="D48" s="88">
        <v>1</v>
      </c>
      <c r="E48" s="88">
        <v>1</v>
      </c>
      <c r="F48" s="88">
        <v>1</v>
      </c>
      <c r="G48" s="88">
        <v>1.82</v>
      </c>
      <c r="H48" s="88">
        <v>1</v>
      </c>
    </row>
    <row r="49" spans="1:8" x14ac:dyDescent="0.25">
      <c r="B49" s="104"/>
      <c r="C49" s="8" t="s">
        <v>146</v>
      </c>
      <c r="D49" s="88">
        <v>1</v>
      </c>
      <c r="E49" s="88">
        <v>1</v>
      </c>
      <c r="F49" s="88">
        <v>1</v>
      </c>
      <c r="G49" s="88">
        <v>1.82</v>
      </c>
      <c r="H49" s="88">
        <v>1</v>
      </c>
    </row>
    <row r="50" spans="1:8" x14ac:dyDescent="0.25">
      <c r="B50" s="104"/>
      <c r="C50" s="8" t="s">
        <v>147</v>
      </c>
      <c r="D50" s="88">
        <v>1</v>
      </c>
      <c r="E50" s="88">
        <v>1</v>
      </c>
      <c r="F50" s="88">
        <v>1</v>
      </c>
      <c r="G50" s="88">
        <v>1</v>
      </c>
      <c r="H50" s="88">
        <v>1</v>
      </c>
    </row>
    <row r="51" spans="1:8" ht="13" customHeight="1" x14ac:dyDescent="0.25">
      <c r="B51" s="65" t="s">
        <v>150</v>
      </c>
      <c r="C51" s="8" t="s">
        <v>147</v>
      </c>
      <c r="D51" s="88">
        <v>1.05</v>
      </c>
      <c r="E51" s="88">
        <v>1.05</v>
      </c>
      <c r="F51" s="88">
        <v>1.05</v>
      </c>
      <c r="G51" s="88">
        <v>1.05</v>
      </c>
      <c r="H51" s="88">
        <v>1</v>
      </c>
    </row>
    <row r="53" spans="1:8" ht="13" customHeight="1" x14ac:dyDescent="0.3">
      <c r="A53" s="92" t="s">
        <v>235</v>
      </c>
      <c r="B53" s="92"/>
      <c r="C53" s="92"/>
      <c r="D53" s="92"/>
      <c r="E53" s="92"/>
      <c r="F53" s="92"/>
      <c r="G53" s="92"/>
      <c r="H53" s="92"/>
    </row>
    <row r="54" spans="1:8" ht="13" customHeight="1" x14ac:dyDescent="0.3">
      <c r="A54" s="4" t="s">
        <v>231</v>
      </c>
      <c r="B54" s="4" t="s">
        <v>144</v>
      </c>
      <c r="C54" s="4" t="s">
        <v>159</v>
      </c>
      <c r="D54" s="4" t="s">
        <v>67</v>
      </c>
      <c r="E54" s="4" t="s">
        <v>77</v>
      </c>
      <c r="F54" s="4" t="s">
        <v>78</v>
      </c>
      <c r="G54" s="4" t="s">
        <v>79</v>
      </c>
      <c r="H54" s="4" t="s">
        <v>80</v>
      </c>
    </row>
    <row r="55" spans="1:8" ht="13" customHeight="1" x14ac:dyDescent="0.3">
      <c r="A55" s="4" t="s">
        <v>236</v>
      </c>
      <c r="B55" s="103" t="s">
        <v>90</v>
      </c>
      <c r="C55" s="8" t="s">
        <v>145</v>
      </c>
      <c r="D55" s="88">
        <f t="shared" ref="D55:H57" si="0">IF(D2=1,1,D2*0.9)</f>
        <v>1</v>
      </c>
      <c r="E55" s="88">
        <f t="shared" si="0"/>
        <v>1</v>
      </c>
      <c r="F55" s="88">
        <f t="shared" si="0"/>
        <v>1</v>
      </c>
      <c r="G55" s="88">
        <f t="shared" si="0"/>
        <v>1</v>
      </c>
      <c r="H55" s="88">
        <f t="shared" si="0"/>
        <v>1</v>
      </c>
    </row>
    <row r="56" spans="1:8" x14ac:dyDescent="0.25">
      <c r="B56" s="104"/>
      <c r="C56" s="8" t="s">
        <v>146</v>
      </c>
      <c r="D56" s="88">
        <f t="shared" si="0"/>
        <v>1</v>
      </c>
      <c r="E56" s="88">
        <f t="shared" si="0"/>
        <v>1</v>
      </c>
      <c r="F56" s="88">
        <f t="shared" si="0"/>
        <v>1</v>
      </c>
      <c r="G56" s="88">
        <f t="shared" si="0"/>
        <v>1</v>
      </c>
      <c r="H56" s="88">
        <f t="shared" si="0"/>
        <v>1</v>
      </c>
    </row>
    <row r="57" spans="1:8" x14ac:dyDescent="0.25">
      <c r="B57" s="104"/>
      <c r="C57" s="8" t="s">
        <v>147</v>
      </c>
      <c r="D57" s="88">
        <f t="shared" si="0"/>
        <v>1</v>
      </c>
      <c r="E57" s="88">
        <f t="shared" si="0"/>
        <v>1</v>
      </c>
      <c r="F57" s="88">
        <f t="shared" si="0"/>
        <v>1</v>
      </c>
      <c r="G57" s="88">
        <f t="shared" si="0"/>
        <v>1</v>
      </c>
      <c r="H57" s="88">
        <f t="shared" si="0"/>
        <v>1</v>
      </c>
    </row>
    <row r="58" spans="1:8" x14ac:dyDescent="0.25">
      <c r="B58" s="103" t="s">
        <v>67</v>
      </c>
      <c r="C58" s="8" t="s">
        <v>145</v>
      </c>
      <c r="D58" s="88">
        <f>IF(ISBLANK('Breastfeeding distribution'!$C$2),1.37,(1.37-'Breastfeeding distribution'!$C$2)/(1-'Breastfeeding distribution'!$C$2))</f>
        <v>1.4778356363994656</v>
      </c>
      <c r="E58" s="88">
        <f t="shared" ref="E58:H60" si="1">IF(E5=1,1,E5*0.9)</f>
        <v>1</v>
      </c>
      <c r="F58" s="88">
        <f t="shared" si="1"/>
        <v>1</v>
      </c>
      <c r="G58" s="88">
        <f t="shared" si="1"/>
        <v>1</v>
      </c>
      <c r="H58" s="88">
        <f t="shared" si="1"/>
        <v>1</v>
      </c>
    </row>
    <row r="59" spans="1:8" x14ac:dyDescent="0.25">
      <c r="B59" s="104"/>
      <c r="C59" s="8" t="s">
        <v>146</v>
      </c>
      <c r="D59" s="88">
        <f>IF(ISBLANK('Breastfeeding distribution'!$C$2),1.37,(1.37-'Breastfeeding distribution'!$C$2)/(1-'Breastfeeding distribution'!$C$2))</f>
        <v>1.4778356363994656</v>
      </c>
      <c r="E59" s="88">
        <f t="shared" si="1"/>
        <v>1</v>
      </c>
      <c r="F59" s="88">
        <f t="shared" si="1"/>
        <v>1</v>
      </c>
      <c r="G59" s="88">
        <f t="shared" si="1"/>
        <v>1</v>
      </c>
      <c r="H59" s="88">
        <f t="shared" si="1"/>
        <v>1</v>
      </c>
    </row>
    <row r="60" spans="1:8" x14ac:dyDescent="0.25">
      <c r="B60" s="104"/>
      <c r="C60" s="8" t="s">
        <v>147</v>
      </c>
      <c r="D60" s="88">
        <f t="shared" ref="D60:D70" si="2">IF(D7=1,1,D7*0.9)</f>
        <v>1</v>
      </c>
      <c r="E60" s="88">
        <f t="shared" si="1"/>
        <v>1</v>
      </c>
      <c r="F60" s="88">
        <f t="shared" si="1"/>
        <v>1</v>
      </c>
      <c r="G60" s="88">
        <f t="shared" si="1"/>
        <v>1</v>
      </c>
      <c r="H60" s="88">
        <f t="shared" si="1"/>
        <v>1</v>
      </c>
    </row>
    <row r="61" spans="1:8" x14ac:dyDescent="0.25">
      <c r="B61" s="103" t="s">
        <v>77</v>
      </c>
      <c r="C61" s="8" t="s">
        <v>145</v>
      </c>
      <c r="D61" s="88">
        <f t="shared" si="2"/>
        <v>1</v>
      </c>
      <c r="E61" s="88">
        <f>IF(ISBLANK('Breastfeeding distribution'!$D$2),1.37,(1.37-'Breastfeeding distribution'!$D$2)/(1-'Breastfeeding distribution'!$D$2))</f>
        <v>1.4046805085119023</v>
      </c>
      <c r="F61" s="88">
        <f t="shared" ref="F61:H63" si="3">IF(F8=1,1,F8*0.9)</f>
        <v>1</v>
      </c>
      <c r="G61" s="88">
        <f t="shared" si="3"/>
        <v>1</v>
      </c>
      <c r="H61" s="88">
        <f t="shared" si="3"/>
        <v>1</v>
      </c>
    </row>
    <row r="62" spans="1:8" x14ac:dyDescent="0.25">
      <c r="B62" s="104"/>
      <c r="C62" s="8" t="s">
        <v>146</v>
      </c>
      <c r="D62" s="88">
        <f t="shared" si="2"/>
        <v>1</v>
      </c>
      <c r="E62" s="88">
        <f>IF(ISBLANK('Breastfeeding distribution'!$D$2),1.37,(1.37-'Breastfeeding distribution'!$D$2)/(1-'Breastfeeding distribution'!$D$2))</f>
        <v>1.4046805085119023</v>
      </c>
      <c r="F62" s="88">
        <f t="shared" si="3"/>
        <v>1</v>
      </c>
      <c r="G62" s="88">
        <f t="shared" si="3"/>
        <v>1</v>
      </c>
      <c r="H62" s="88">
        <f t="shared" si="3"/>
        <v>1</v>
      </c>
    </row>
    <row r="63" spans="1:8" x14ac:dyDescent="0.25">
      <c r="B63" s="104"/>
      <c r="C63" s="8" t="s">
        <v>147</v>
      </c>
      <c r="D63" s="88">
        <f t="shared" si="2"/>
        <v>1</v>
      </c>
      <c r="E63" s="88">
        <f t="shared" ref="E63:E70" si="4">IF(E10=1,1,E10*0.9)</f>
        <v>1</v>
      </c>
      <c r="F63" s="88">
        <f t="shared" si="3"/>
        <v>1</v>
      </c>
      <c r="G63" s="88">
        <f t="shared" si="3"/>
        <v>1</v>
      </c>
      <c r="H63" s="88">
        <f t="shared" si="3"/>
        <v>1</v>
      </c>
    </row>
    <row r="64" spans="1:8" x14ac:dyDescent="0.25">
      <c r="B64" s="103" t="s">
        <v>78</v>
      </c>
      <c r="C64" s="8" t="s">
        <v>145</v>
      </c>
      <c r="D64" s="88">
        <f t="shared" si="2"/>
        <v>1</v>
      </c>
      <c r="E64" s="88">
        <f t="shared" si="4"/>
        <v>1</v>
      </c>
      <c r="F64" s="88">
        <v>1.35</v>
      </c>
      <c r="G64" s="88">
        <f t="shared" ref="G64:H66" si="5">IF(G11=1,1,G11*0.9)</f>
        <v>1</v>
      </c>
      <c r="H64" s="88">
        <f t="shared" si="5"/>
        <v>1</v>
      </c>
    </row>
    <row r="65" spans="1:8" x14ac:dyDescent="0.25">
      <c r="B65" s="104"/>
      <c r="C65" s="8" t="s">
        <v>146</v>
      </c>
      <c r="D65" s="88">
        <f t="shared" si="2"/>
        <v>1</v>
      </c>
      <c r="E65" s="88">
        <f t="shared" si="4"/>
        <v>1</v>
      </c>
      <c r="F65" s="88">
        <v>1.35</v>
      </c>
      <c r="G65" s="88">
        <f t="shared" si="5"/>
        <v>1</v>
      </c>
      <c r="H65" s="88">
        <f t="shared" si="5"/>
        <v>1</v>
      </c>
    </row>
    <row r="66" spans="1:8" x14ac:dyDescent="0.25">
      <c r="B66" s="104"/>
      <c r="C66" s="8" t="s">
        <v>147</v>
      </c>
      <c r="D66" s="88">
        <f t="shared" si="2"/>
        <v>1</v>
      </c>
      <c r="E66" s="88">
        <f t="shared" si="4"/>
        <v>1</v>
      </c>
      <c r="F66" s="88">
        <f>IF(F13=1,1,F13*0.9)</f>
        <v>1</v>
      </c>
      <c r="G66" s="88">
        <f t="shared" si="5"/>
        <v>1</v>
      </c>
      <c r="H66" s="88">
        <f t="shared" si="5"/>
        <v>1</v>
      </c>
    </row>
    <row r="67" spans="1:8" x14ac:dyDescent="0.25">
      <c r="B67" s="103" t="s">
        <v>79</v>
      </c>
      <c r="C67" s="8" t="s">
        <v>145</v>
      </c>
      <c r="D67" s="88">
        <f t="shared" si="2"/>
        <v>1</v>
      </c>
      <c r="E67" s="88">
        <f t="shared" si="4"/>
        <v>1</v>
      </c>
      <c r="F67" s="88">
        <f>IF(F14=1,1,F14*0.9)</f>
        <v>1</v>
      </c>
      <c r="G67" s="88">
        <v>1.35</v>
      </c>
      <c r="H67" s="88">
        <f>IF(H14=1,1,H14*0.9)</f>
        <v>1</v>
      </c>
    </row>
    <row r="68" spans="1:8" x14ac:dyDescent="0.25">
      <c r="B68" s="104"/>
      <c r="C68" s="8" t="s">
        <v>146</v>
      </c>
      <c r="D68" s="88">
        <f t="shared" si="2"/>
        <v>1</v>
      </c>
      <c r="E68" s="88">
        <f t="shared" si="4"/>
        <v>1</v>
      </c>
      <c r="F68" s="88">
        <f>IF(F15=1,1,F15*0.9)</f>
        <v>1</v>
      </c>
      <c r="G68" s="88">
        <v>1.35</v>
      </c>
      <c r="H68" s="88">
        <f>IF(H15=1,1,H15*0.9)</f>
        <v>1</v>
      </c>
    </row>
    <row r="69" spans="1:8" x14ac:dyDescent="0.25">
      <c r="B69" s="104"/>
      <c r="C69" s="8" t="s">
        <v>147</v>
      </c>
      <c r="D69" s="88">
        <f t="shared" si="2"/>
        <v>1</v>
      </c>
      <c r="E69" s="88">
        <f t="shared" si="4"/>
        <v>1</v>
      </c>
      <c r="F69" s="88">
        <f>IF(F16=1,1,F16*0.9)</f>
        <v>1</v>
      </c>
      <c r="G69" s="88">
        <f>IF(G16=1,1,G16*0.9)</f>
        <v>1</v>
      </c>
      <c r="H69" s="88">
        <f>IF(H16=1,1,H16*0.9)</f>
        <v>1</v>
      </c>
    </row>
    <row r="70" spans="1:8" ht="13" customHeight="1" x14ac:dyDescent="0.25">
      <c r="B70" s="65" t="s">
        <v>150</v>
      </c>
      <c r="C70" s="8" t="s">
        <v>147</v>
      </c>
      <c r="D70" s="88">
        <f t="shared" si="2"/>
        <v>0.94500000000000006</v>
      </c>
      <c r="E70" s="88">
        <f t="shared" si="4"/>
        <v>0.94500000000000006</v>
      </c>
      <c r="F70" s="88">
        <f>IF(F17=1,1,F17*0.9)</f>
        <v>0.94500000000000006</v>
      </c>
      <c r="G70" s="88">
        <f>IF(G17=1,1,G17*0.9)</f>
        <v>0.94500000000000006</v>
      </c>
      <c r="H70" s="88">
        <f>IF(H17=1,1,H17*0.9)</f>
        <v>1</v>
      </c>
    </row>
    <row r="71" spans="1:8" x14ac:dyDescent="0.25">
      <c r="D71" s="86"/>
      <c r="E71" s="86"/>
      <c r="F71" s="86"/>
      <c r="G71" s="86"/>
      <c r="H71" s="86"/>
    </row>
    <row r="72" spans="1:8" ht="13" customHeight="1" x14ac:dyDescent="0.3">
      <c r="A72" s="4" t="s">
        <v>237</v>
      </c>
      <c r="B72" s="103" t="s">
        <v>90</v>
      </c>
      <c r="C72" s="8" t="s">
        <v>145</v>
      </c>
      <c r="D72" s="88">
        <f t="shared" ref="D72:H81" si="6">IF(D19=1,1,D19*0.9)</f>
        <v>1</v>
      </c>
      <c r="E72" s="88">
        <f t="shared" si="6"/>
        <v>1</v>
      </c>
      <c r="F72" s="88">
        <f t="shared" si="6"/>
        <v>0.88200000000000001</v>
      </c>
      <c r="G72" s="88">
        <f t="shared" si="6"/>
        <v>0.88200000000000001</v>
      </c>
      <c r="H72" s="88">
        <f t="shared" si="6"/>
        <v>1</v>
      </c>
    </row>
    <row r="73" spans="1:8" x14ac:dyDescent="0.25">
      <c r="B73" s="104"/>
      <c r="C73" s="8" t="s">
        <v>146</v>
      </c>
      <c r="D73" s="88">
        <f t="shared" si="6"/>
        <v>1</v>
      </c>
      <c r="E73" s="88">
        <f t="shared" si="6"/>
        <v>1</v>
      </c>
      <c r="F73" s="88">
        <f t="shared" si="6"/>
        <v>0.88200000000000001</v>
      </c>
      <c r="G73" s="88">
        <f t="shared" si="6"/>
        <v>0.88200000000000001</v>
      </c>
      <c r="H73" s="88">
        <f t="shared" si="6"/>
        <v>1</v>
      </c>
    </row>
    <row r="74" spans="1:8" x14ac:dyDescent="0.25">
      <c r="B74" s="104"/>
      <c r="C74" s="8" t="s">
        <v>147</v>
      </c>
      <c r="D74" s="88">
        <f t="shared" si="6"/>
        <v>1</v>
      </c>
      <c r="E74" s="88">
        <f t="shared" si="6"/>
        <v>1</v>
      </c>
      <c r="F74" s="88">
        <f t="shared" si="6"/>
        <v>0.89100000000000001</v>
      </c>
      <c r="G74" s="88">
        <f t="shared" si="6"/>
        <v>0.89100000000000001</v>
      </c>
      <c r="H74" s="88">
        <f t="shared" si="6"/>
        <v>1</v>
      </c>
    </row>
    <row r="75" spans="1:8" x14ac:dyDescent="0.25">
      <c r="B75" s="103" t="s">
        <v>67</v>
      </c>
      <c r="C75" s="8" t="s">
        <v>145</v>
      </c>
      <c r="D75" s="88">
        <f t="shared" si="6"/>
        <v>1</v>
      </c>
      <c r="E75" s="88">
        <f t="shared" si="6"/>
        <v>1</v>
      </c>
      <c r="F75" s="88">
        <f t="shared" si="6"/>
        <v>1</v>
      </c>
      <c r="G75" s="88">
        <f t="shared" si="6"/>
        <v>1</v>
      </c>
      <c r="H75" s="88">
        <f t="shared" si="6"/>
        <v>1</v>
      </c>
    </row>
    <row r="76" spans="1:8" x14ac:dyDescent="0.25">
      <c r="B76" s="104"/>
      <c r="C76" s="8" t="s">
        <v>146</v>
      </c>
      <c r="D76" s="88">
        <f t="shared" si="6"/>
        <v>1</v>
      </c>
      <c r="E76" s="88">
        <f t="shared" si="6"/>
        <v>1</v>
      </c>
      <c r="F76" s="88">
        <f t="shared" si="6"/>
        <v>1</v>
      </c>
      <c r="G76" s="88">
        <f t="shared" si="6"/>
        <v>1</v>
      </c>
      <c r="H76" s="88">
        <f t="shared" si="6"/>
        <v>1</v>
      </c>
    </row>
    <row r="77" spans="1:8" x14ac:dyDescent="0.25">
      <c r="B77" s="104"/>
      <c r="C77" s="8" t="s">
        <v>147</v>
      </c>
      <c r="D77" s="88">
        <f t="shared" si="6"/>
        <v>1</v>
      </c>
      <c r="E77" s="88">
        <f t="shared" si="6"/>
        <v>1</v>
      </c>
      <c r="F77" s="88">
        <f t="shared" si="6"/>
        <v>0.89100000000000001</v>
      </c>
      <c r="G77" s="88">
        <f t="shared" si="6"/>
        <v>0.89100000000000001</v>
      </c>
      <c r="H77" s="88">
        <f t="shared" si="6"/>
        <v>1</v>
      </c>
    </row>
    <row r="78" spans="1:8" x14ac:dyDescent="0.25">
      <c r="B78" s="103" t="s">
        <v>77</v>
      </c>
      <c r="C78" s="8" t="s">
        <v>145</v>
      </c>
      <c r="D78" s="88">
        <f t="shared" si="6"/>
        <v>1</v>
      </c>
      <c r="E78" s="88">
        <f t="shared" si="6"/>
        <v>1</v>
      </c>
      <c r="F78" s="88">
        <f t="shared" si="6"/>
        <v>1</v>
      </c>
      <c r="G78" s="88">
        <f t="shared" si="6"/>
        <v>1</v>
      </c>
      <c r="H78" s="88">
        <f t="shared" si="6"/>
        <v>1</v>
      </c>
    </row>
    <row r="79" spans="1:8" x14ac:dyDescent="0.25">
      <c r="B79" s="104"/>
      <c r="C79" s="8" t="s">
        <v>146</v>
      </c>
      <c r="D79" s="88">
        <f t="shared" si="6"/>
        <v>1</v>
      </c>
      <c r="E79" s="88">
        <f t="shared" si="6"/>
        <v>1</v>
      </c>
      <c r="F79" s="88">
        <f t="shared" si="6"/>
        <v>1</v>
      </c>
      <c r="G79" s="88">
        <f t="shared" si="6"/>
        <v>1</v>
      </c>
      <c r="H79" s="88">
        <f t="shared" si="6"/>
        <v>1</v>
      </c>
    </row>
    <row r="80" spans="1:8" x14ac:dyDescent="0.25">
      <c r="B80" s="104"/>
      <c r="C80" s="8" t="s">
        <v>147</v>
      </c>
      <c r="D80" s="88">
        <f t="shared" si="6"/>
        <v>1</v>
      </c>
      <c r="E80" s="88">
        <f t="shared" si="6"/>
        <v>1</v>
      </c>
      <c r="F80" s="88">
        <f t="shared" si="6"/>
        <v>0.89100000000000001</v>
      </c>
      <c r="G80" s="88">
        <f t="shared" si="6"/>
        <v>0.89100000000000001</v>
      </c>
      <c r="H80" s="88">
        <f t="shared" si="6"/>
        <v>1</v>
      </c>
    </row>
    <row r="81" spans="1:8" x14ac:dyDescent="0.25">
      <c r="B81" s="103" t="s">
        <v>78</v>
      </c>
      <c r="C81" s="8" t="s">
        <v>145</v>
      </c>
      <c r="D81" s="88">
        <f t="shared" si="6"/>
        <v>1</v>
      </c>
      <c r="E81" s="88">
        <f t="shared" si="6"/>
        <v>1</v>
      </c>
      <c r="F81" s="88">
        <f t="shared" si="6"/>
        <v>0.70200000000000007</v>
      </c>
      <c r="G81" s="88">
        <f t="shared" si="6"/>
        <v>1</v>
      </c>
      <c r="H81" s="88">
        <f t="shared" si="6"/>
        <v>1</v>
      </c>
    </row>
    <row r="82" spans="1:8" x14ac:dyDescent="0.25">
      <c r="B82" s="104"/>
      <c r="C82" s="8" t="s">
        <v>146</v>
      </c>
      <c r="D82" s="88">
        <f t="shared" ref="D82:H91" si="7">IF(D29=1,1,D29*0.9)</f>
        <v>1</v>
      </c>
      <c r="E82" s="88">
        <f t="shared" si="7"/>
        <v>1</v>
      </c>
      <c r="F82" s="88">
        <f t="shared" si="7"/>
        <v>0.70200000000000007</v>
      </c>
      <c r="G82" s="88">
        <f t="shared" si="7"/>
        <v>1</v>
      </c>
      <c r="H82" s="88">
        <f t="shared" si="7"/>
        <v>1</v>
      </c>
    </row>
    <row r="83" spans="1:8" x14ac:dyDescent="0.25">
      <c r="B83" s="104"/>
      <c r="C83" s="8" t="s">
        <v>147</v>
      </c>
      <c r="D83" s="88">
        <f t="shared" si="7"/>
        <v>1</v>
      </c>
      <c r="E83" s="88">
        <f t="shared" si="7"/>
        <v>1</v>
      </c>
      <c r="F83" s="88">
        <f t="shared" si="7"/>
        <v>0.89100000000000001</v>
      </c>
      <c r="G83" s="88">
        <f t="shared" si="7"/>
        <v>0.89100000000000001</v>
      </c>
      <c r="H83" s="88">
        <f t="shared" si="7"/>
        <v>1</v>
      </c>
    </row>
    <row r="84" spans="1:8" x14ac:dyDescent="0.25">
      <c r="B84" s="103" t="s">
        <v>79</v>
      </c>
      <c r="C84" s="8" t="s">
        <v>145</v>
      </c>
      <c r="D84" s="88">
        <f t="shared" si="7"/>
        <v>1</v>
      </c>
      <c r="E84" s="88">
        <f t="shared" si="7"/>
        <v>1</v>
      </c>
      <c r="F84" s="88">
        <f t="shared" si="7"/>
        <v>1</v>
      </c>
      <c r="G84" s="88">
        <f t="shared" si="7"/>
        <v>0.70200000000000007</v>
      </c>
      <c r="H84" s="88">
        <f t="shared" si="7"/>
        <v>1</v>
      </c>
    </row>
    <row r="85" spans="1:8" x14ac:dyDescent="0.25">
      <c r="B85" s="104"/>
      <c r="C85" s="8" t="s">
        <v>146</v>
      </c>
      <c r="D85" s="88">
        <f t="shared" si="7"/>
        <v>1</v>
      </c>
      <c r="E85" s="88">
        <f t="shared" si="7"/>
        <v>1</v>
      </c>
      <c r="F85" s="88">
        <f t="shared" si="7"/>
        <v>1</v>
      </c>
      <c r="G85" s="88">
        <f t="shared" si="7"/>
        <v>0.70200000000000007</v>
      </c>
      <c r="H85" s="88">
        <f t="shared" si="7"/>
        <v>1</v>
      </c>
    </row>
    <row r="86" spans="1:8" x14ac:dyDescent="0.25">
      <c r="B86" s="104"/>
      <c r="C86" s="8" t="s">
        <v>147</v>
      </c>
      <c r="D86" s="88">
        <f t="shared" si="7"/>
        <v>1</v>
      </c>
      <c r="E86" s="88">
        <f t="shared" si="7"/>
        <v>1</v>
      </c>
      <c r="F86" s="88">
        <f t="shared" si="7"/>
        <v>1</v>
      </c>
      <c r="G86" s="88">
        <f t="shared" si="7"/>
        <v>0.89100000000000001</v>
      </c>
      <c r="H86" s="88">
        <f t="shared" si="7"/>
        <v>1</v>
      </c>
    </row>
    <row r="87" spans="1:8" ht="13" customHeight="1" x14ac:dyDescent="0.25">
      <c r="B87" s="65" t="s">
        <v>150</v>
      </c>
      <c r="C87" s="8" t="s">
        <v>147</v>
      </c>
      <c r="D87" s="88">
        <f t="shared" si="7"/>
        <v>1</v>
      </c>
      <c r="E87" s="88">
        <f t="shared" si="7"/>
        <v>1</v>
      </c>
      <c r="F87" s="88">
        <f t="shared" si="7"/>
        <v>0.85499999999999998</v>
      </c>
      <c r="G87" s="88">
        <f t="shared" si="7"/>
        <v>0.85499999999999998</v>
      </c>
      <c r="H87" s="88">
        <f t="shared" si="7"/>
        <v>1</v>
      </c>
    </row>
    <row r="88" spans="1:8" x14ac:dyDescent="0.25">
      <c r="D88" s="86"/>
      <c r="E88" s="86"/>
      <c r="F88" s="86"/>
      <c r="G88" s="86"/>
      <c r="H88" s="86"/>
    </row>
    <row r="89" spans="1:8" ht="13" customHeight="1" x14ac:dyDescent="0.3">
      <c r="A89" s="66" t="s">
        <v>238</v>
      </c>
      <c r="B89" s="103" t="s">
        <v>90</v>
      </c>
      <c r="C89" s="8" t="s">
        <v>145</v>
      </c>
      <c r="D89" s="88">
        <f t="shared" ref="D89:H98" si="8">IF(D36=1,1,D36*0.9)</f>
        <v>1</v>
      </c>
      <c r="E89" s="88">
        <f t="shared" si="8"/>
        <v>1</v>
      </c>
      <c r="F89" s="88">
        <f t="shared" si="8"/>
        <v>1</v>
      </c>
      <c r="G89" s="88">
        <f t="shared" si="8"/>
        <v>1</v>
      </c>
      <c r="H89" s="88">
        <f t="shared" si="8"/>
        <v>1</v>
      </c>
    </row>
    <row r="90" spans="1:8" x14ac:dyDescent="0.25">
      <c r="B90" s="104"/>
      <c r="C90" s="8" t="s">
        <v>146</v>
      </c>
      <c r="D90" s="88">
        <f t="shared" si="8"/>
        <v>1</v>
      </c>
      <c r="E90" s="88">
        <f t="shared" si="8"/>
        <v>1</v>
      </c>
      <c r="F90" s="88">
        <f t="shared" si="8"/>
        <v>1</v>
      </c>
      <c r="G90" s="88">
        <f t="shared" si="8"/>
        <v>1</v>
      </c>
      <c r="H90" s="88">
        <f t="shared" si="8"/>
        <v>1</v>
      </c>
    </row>
    <row r="91" spans="1:8" x14ac:dyDescent="0.25">
      <c r="B91" s="104"/>
      <c r="C91" s="8" t="s">
        <v>147</v>
      </c>
      <c r="D91" s="88">
        <f t="shared" si="8"/>
        <v>1</v>
      </c>
      <c r="E91" s="88">
        <f t="shared" si="8"/>
        <v>1</v>
      </c>
      <c r="F91" s="88">
        <f t="shared" si="8"/>
        <v>1</v>
      </c>
      <c r="G91" s="88">
        <f t="shared" si="8"/>
        <v>1</v>
      </c>
      <c r="H91" s="88">
        <f t="shared" si="8"/>
        <v>1</v>
      </c>
    </row>
    <row r="92" spans="1:8" x14ac:dyDescent="0.25">
      <c r="B92" s="103" t="s">
        <v>67</v>
      </c>
      <c r="C92" s="8" t="s">
        <v>145</v>
      </c>
      <c r="D92" s="88">
        <f t="shared" si="8"/>
        <v>1</v>
      </c>
      <c r="E92" s="88">
        <f t="shared" si="8"/>
        <v>1</v>
      </c>
      <c r="F92" s="88">
        <f t="shared" si="8"/>
        <v>1</v>
      </c>
      <c r="G92" s="88">
        <f t="shared" si="8"/>
        <v>1</v>
      </c>
      <c r="H92" s="88">
        <f t="shared" si="8"/>
        <v>1</v>
      </c>
    </row>
    <row r="93" spans="1:8" x14ac:dyDescent="0.25">
      <c r="B93" s="104"/>
      <c r="C93" s="8" t="s">
        <v>146</v>
      </c>
      <c r="D93" s="88">
        <f t="shared" si="8"/>
        <v>1</v>
      </c>
      <c r="E93" s="88">
        <f t="shared" si="8"/>
        <v>1</v>
      </c>
      <c r="F93" s="88">
        <f t="shared" si="8"/>
        <v>1</v>
      </c>
      <c r="G93" s="88">
        <f t="shared" si="8"/>
        <v>1</v>
      </c>
      <c r="H93" s="88">
        <f t="shared" si="8"/>
        <v>1</v>
      </c>
    </row>
    <row r="94" spans="1:8" x14ac:dyDescent="0.25">
      <c r="B94" s="104"/>
      <c r="C94" s="8" t="s">
        <v>147</v>
      </c>
      <c r="D94" s="88">
        <f t="shared" si="8"/>
        <v>1</v>
      </c>
      <c r="E94" s="88">
        <f t="shared" si="8"/>
        <v>1</v>
      </c>
      <c r="F94" s="88">
        <f t="shared" si="8"/>
        <v>1</v>
      </c>
      <c r="G94" s="88">
        <f t="shared" si="8"/>
        <v>1</v>
      </c>
      <c r="H94" s="88">
        <f t="shared" si="8"/>
        <v>1</v>
      </c>
    </row>
    <row r="95" spans="1:8" x14ac:dyDescent="0.25">
      <c r="B95" s="103" t="s">
        <v>77</v>
      </c>
      <c r="C95" s="8" t="s">
        <v>145</v>
      </c>
      <c r="D95" s="88">
        <f t="shared" si="8"/>
        <v>1</v>
      </c>
      <c r="E95" s="88">
        <f t="shared" si="8"/>
        <v>1</v>
      </c>
      <c r="F95" s="88">
        <f t="shared" si="8"/>
        <v>1</v>
      </c>
      <c r="G95" s="88">
        <f t="shared" si="8"/>
        <v>1</v>
      </c>
      <c r="H95" s="88">
        <f t="shared" si="8"/>
        <v>1</v>
      </c>
    </row>
    <row r="96" spans="1:8" x14ac:dyDescent="0.25">
      <c r="B96" s="104"/>
      <c r="C96" s="8" t="s">
        <v>146</v>
      </c>
      <c r="D96" s="88">
        <f t="shared" si="8"/>
        <v>1</v>
      </c>
      <c r="E96" s="88">
        <f t="shared" si="8"/>
        <v>1</v>
      </c>
      <c r="F96" s="88">
        <f t="shared" si="8"/>
        <v>1</v>
      </c>
      <c r="G96" s="88">
        <f t="shared" si="8"/>
        <v>1</v>
      </c>
      <c r="H96" s="88">
        <f t="shared" si="8"/>
        <v>1</v>
      </c>
    </row>
    <row r="97" spans="1:8" x14ac:dyDescent="0.25">
      <c r="B97" s="104"/>
      <c r="C97" s="8" t="s">
        <v>147</v>
      </c>
      <c r="D97" s="88">
        <f t="shared" si="8"/>
        <v>1</v>
      </c>
      <c r="E97" s="88">
        <f t="shared" si="8"/>
        <v>1</v>
      </c>
      <c r="F97" s="88">
        <f t="shared" si="8"/>
        <v>1</v>
      </c>
      <c r="G97" s="88">
        <f t="shared" si="8"/>
        <v>1</v>
      </c>
      <c r="H97" s="88">
        <f t="shared" si="8"/>
        <v>1</v>
      </c>
    </row>
    <row r="98" spans="1:8" x14ac:dyDescent="0.25">
      <c r="B98" s="103" t="s">
        <v>78</v>
      </c>
      <c r="C98" s="8" t="s">
        <v>145</v>
      </c>
      <c r="D98" s="88">
        <f t="shared" si="8"/>
        <v>1</v>
      </c>
      <c r="E98" s="88">
        <f t="shared" si="8"/>
        <v>1</v>
      </c>
      <c r="F98" s="88">
        <f t="shared" si="8"/>
        <v>1.6380000000000001</v>
      </c>
      <c r="G98" s="88">
        <f t="shared" si="8"/>
        <v>1</v>
      </c>
      <c r="H98" s="88">
        <f t="shared" si="8"/>
        <v>1</v>
      </c>
    </row>
    <row r="99" spans="1:8" x14ac:dyDescent="0.25">
      <c r="B99" s="104"/>
      <c r="C99" s="8" t="s">
        <v>146</v>
      </c>
      <c r="D99" s="88">
        <f t="shared" ref="D99:H108" si="9">IF(D46=1,1,D46*0.9)</f>
        <v>1</v>
      </c>
      <c r="E99" s="88">
        <f t="shared" si="9"/>
        <v>1</v>
      </c>
      <c r="F99" s="88">
        <f t="shared" si="9"/>
        <v>1.6380000000000001</v>
      </c>
      <c r="G99" s="88">
        <f t="shared" si="9"/>
        <v>1</v>
      </c>
      <c r="H99" s="88">
        <f t="shared" si="9"/>
        <v>1</v>
      </c>
    </row>
    <row r="100" spans="1:8" x14ac:dyDescent="0.25">
      <c r="B100" s="104"/>
      <c r="C100" s="8" t="s">
        <v>147</v>
      </c>
      <c r="D100" s="88">
        <f t="shared" si="9"/>
        <v>1</v>
      </c>
      <c r="E100" s="88">
        <f t="shared" si="9"/>
        <v>1</v>
      </c>
      <c r="F100" s="88">
        <f t="shared" si="9"/>
        <v>1</v>
      </c>
      <c r="G100" s="88">
        <f t="shared" si="9"/>
        <v>1</v>
      </c>
      <c r="H100" s="88">
        <f t="shared" si="9"/>
        <v>1</v>
      </c>
    </row>
    <row r="101" spans="1:8" x14ac:dyDescent="0.25">
      <c r="B101" s="103" t="s">
        <v>79</v>
      </c>
      <c r="C101" s="8" t="s">
        <v>145</v>
      </c>
      <c r="D101" s="88">
        <f t="shared" si="9"/>
        <v>1</v>
      </c>
      <c r="E101" s="88">
        <f t="shared" si="9"/>
        <v>1</v>
      </c>
      <c r="F101" s="88">
        <f t="shared" si="9"/>
        <v>1</v>
      </c>
      <c r="G101" s="88">
        <f t="shared" si="9"/>
        <v>1.6380000000000001</v>
      </c>
      <c r="H101" s="88">
        <f t="shared" si="9"/>
        <v>1</v>
      </c>
    </row>
    <row r="102" spans="1:8" x14ac:dyDescent="0.25">
      <c r="B102" s="104"/>
      <c r="C102" s="8" t="s">
        <v>146</v>
      </c>
      <c r="D102" s="88">
        <f t="shared" si="9"/>
        <v>1</v>
      </c>
      <c r="E102" s="88">
        <f t="shared" si="9"/>
        <v>1</v>
      </c>
      <c r="F102" s="88">
        <f t="shared" si="9"/>
        <v>1</v>
      </c>
      <c r="G102" s="88">
        <f t="shared" si="9"/>
        <v>1.6380000000000001</v>
      </c>
      <c r="H102" s="88">
        <f t="shared" si="9"/>
        <v>1</v>
      </c>
    </row>
    <row r="103" spans="1:8" x14ac:dyDescent="0.25">
      <c r="B103" s="104"/>
      <c r="C103" s="8" t="s">
        <v>147</v>
      </c>
      <c r="D103" s="88">
        <f t="shared" si="9"/>
        <v>1</v>
      </c>
      <c r="E103" s="88">
        <f t="shared" si="9"/>
        <v>1</v>
      </c>
      <c r="F103" s="88">
        <f t="shared" si="9"/>
        <v>1</v>
      </c>
      <c r="G103" s="88">
        <f t="shared" si="9"/>
        <v>1</v>
      </c>
      <c r="H103" s="88">
        <f t="shared" si="9"/>
        <v>1</v>
      </c>
    </row>
    <row r="104" spans="1:8" ht="13" customHeight="1" x14ac:dyDescent="0.25">
      <c r="B104" s="65" t="s">
        <v>150</v>
      </c>
      <c r="C104" s="8" t="s">
        <v>147</v>
      </c>
      <c r="D104" s="88">
        <f t="shared" si="9"/>
        <v>0.94500000000000006</v>
      </c>
      <c r="E104" s="88">
        <f t="shared" si="9"/>
        <v>0.94500000000000006</v>
      </c>
      <c r="F104" s="88">
        <f t="shared" si="9"/>
        <v>0.94500000000000006</v>
      </c>
      <c r="G104" s="88">
        <f t="shared" si="9"/>
        <v>0.94500000000000006</v>
      </c>
      <c r="H104" s="88">
        <f t="shared" si="9"/>
        <v>1</v>
      </c>
    </row>
    <row r="106" spans="1:8" ht="13" customHeight="1" x14ac:dyDescent="0.3">
      <c r="A106" s="92" t="s">
        <v>239</v>
      </c>
      <c r="B106" s="92"/>
      <c r="C106" s="92"/>
      <c r="D106" s="92"/>
      <c r="E106" s="92"/>
      <c r="F106" s="92"/>
      <c r="G106" s="92"/>
      <c r="H106" s="92"/>
    </row>
    <row r="107" spans="1:8" ht="13" customHeight="1" x14ac:dyDescent="0.3">
      <c r="A107" s="4" t="s">
        <v>231</v>
      </c>
      <c r="B107" s="4" t="s">
        <v>144</v>
      </c>
      <c r="C107" s="4" t="s">
        <v>159</v>
      </c>
      <c r="D107" s="4" t="s">
        <v>67</v>
      </c>
      <c r="E107" s="4" t="s">
        <v>77</v>
      </c>
      <c r="F107" s="4" t="s">
        <v>78</v>
      </c>
      <c r="G107" s="4" t="s">
        <v>79</v>
      </c>
      <c r="H107" s="4" t="s">
        <v>80</v>
      </c>
    </row>
    <row r="108" spans="1:8" ht="13" customHeight="1" x14ac:dyDescent="0.3">
      <c r="A108" s="4" t="s">
        <v>240</v>
      </c>
      <c r="B108" s="103" t="s">
        <v>90</v>
      </c>
      <c r="C108" s="8" t="s">
        <v>145</v>
      </c>
      <c r="D108" s="88">
        <f t="shared" ref="D108:H110" si="10">IF(D2=1,1,D2*1.05)</f>
        <v>1</v>
      </c>
      <c r="E108" s="88">
        <f t="shared" si="10"/>
        <v>1</v>
      </c>
      <c r="F108" s="88">
        <f t="shared" si="10"/>
        <v>1</v>
      </c>
      <c r="G108" s="88">
        <f t="shared" si="10"/>
        <v>1</v>
      </c>
      <c r="H108" s="88">
        <f t="shared" si="10"/>
        <v>1</v>
      </c>
    </row>
    <row r="109" spans="1:8" x14ac:dyDescent="0.25">
      <c r="B109" s="104"/>
      <c r="C109" s="8" t="s">
        <v>146</v>
      </c>
      <c r="D109" s="88">
        <f t="shared" si="10"/>
        <v>1</v>
      </c>
      <c r="E109" s="88">
        <f t="shared" si="10"/>
        <v>1</v>
      </c>
      <c r="F109" s="88">
        <f t="shared" si="10"/>
        <v>1</v>
      </c>
      <c r="G109" s="88">
        <f t="shared" si="10"/>
        <v>1</v>
      </c>
      <c r="H109" s="88">
        <f t="shared" si="10"/>
        <v>1</v>
      </c>
    </row>
    <row r="110" spans="1:8" x14ac:dyDescent="0.25">
      <c r="B110" s="104"/>
      <c r="C110" s="8" t="s">
        <v>147</v>
      </c>
      <c r="D110" s="88">
        <f t="shared" si="10"/>
        <v>1</v>
      </c>
      <c r="E110" s="88">
        <f t="shared" si="10"/>
        <v>1</v>
      </c>
      <c r="F110" s="88">
        <f t="shared" si="10"/>
        <v>1</v>
      </c>
      <c r="G110" s="88">
        <f t="shared" si="10"/>
        <v>1</v>
      </c>
      <c r="H110" s="88">
        <f t="shared" si="10"/>
        <v>1</v>
      </c>
    </row>
    <row r="111" spans="1:8" x14ac:dyDescent="0.25">
      <c r="B111" s="103" t="s">
        <v>67</v>
      </c>
      <c r="C111" s="8" t="s">
        <v>145</v>
      </c>
      <c r="D111" s="88">
        <f>IF(ISBLANK('Breastfeeding distribution'!$C$2),1.77,(1.77-'Breastfeeding distribution'!$C$2)/(1-'Breastfeeding distribution'!$C$2))</f>
        <v>1.9944147027772661</v>
      </c>
      <c r="E111" s="88">
        <f t="shared" ref="E111:H113" si="11">IF(E5=1,1,E5*1.05)</f>
        <v>1</v>
      </c>
      <c r="F111" s="88">
        <f t="shared" si="11"/>
        <v>1</v>
      </c>
      <c r="G111" s="88">
        <f t="shared" si="11"/>
        <v>1</v>
      </c>
      <c r="H111" s="88">
        <f t="shared" si="11"/>
        <v>1</v>
      </c>
    </row>
    <row r="112" spans="1:8" x14ac:dyDescent="0.25">
      <c r="B112" s="104"/>
      <c r="C112" s="8" t="s">
        <v>146</v>
      </c>
      <c r="D112" s="88">
        <f>IF(ISBLANK('Breastfeeding distribution'!$C$2),1.77,(1.77-'Breastfeeding distribution'!$C$2)/(1-'Breastfeeding distribution'!$C$2))</f>
        <v>1.9944147027772661</v>
      </c>
      <c r="E112" s="88">
        <f t="shared" si="11"/>
        <v>1</v>
      </c>
      <c r="F112" s="88">
        <f t="shared" si="11"/>
        <v>1</v>
      </c>
      <c r="G112" s="88">
        <f t="shared" si="11"/>
        <v>1</v>
      </c>
      <c r="H112" s="88">
        <f t="shared" si="11"/>
        <v>1</v>
      </c>
    </row>
    <row r="113" spans="1:8" x14ac:dyDescent="0.25">
      <c r="B113" s="104"/>
      <c r="C113" s="8" t="s">
        <v>147</v>
      </c>
      <c r="D113" s="88">
        <f t="shared" ref="D113:D123" si="12">IF(D7=1,1,D7*1.05)</f>
        <v>1</v>
      </c>
      <c r="E113" s="88">
        <f t="shared" si="11"/>
        <v>1</v>
      </c>
      <c r="F113" s="88">
        <f t="shared" si="11"/>
        <v>1</v>
      </c>
      <c r="G113" s="88">
        <f t="shared" si="11"/>
        <v>1</v>
      </c>
      <c r="H113" s="88">
        <f t="shared" si="11"/>
        <v>1</v>
      </c>
    </row>
    <row r="114" spans="1:8" x14ac:dyDescent="0.25">
      <c r="B114" s="103" t="s">
        <v>77</v>
      </c>
      <c r="C114" s="8" t="s">
        <v>145</v>
      </c>
      <c r="D114" s="88">
        <f t="shared" si="12"/>
        <v>1</v>
      </c>
      <c r="E114" s="88">
        <f>IF(ISBLANK('Breastfeeding distribution'!$D$2),1.77,(1.77-'Breastfeeding distribution'!$D$2)/(1-'Breastfeeding distribution'!$D$2))</f>
        <v>1.842172950146391</v>
      </c>
      <c r="F114" s="88">
        <f t="shared" ref="F114:H116" si="13">IF(F8=1,1,F8*1.05)</f>
        <v>1</v>
      </c>
      <c r="G114" s="88">
        <f t="shared" si="13"/>
        <v>1</v>
      </c>
      <c r="H114" s="88">
        <f t="shared" si="13"/>
        <v>1</v>
      </c>
    </row>
    <row r="115" spans="1:8" x14ac:dyDescent="0.25">
      <c r="B115" s="104"/>
      <c r="C115" s="8" t="s">
        <v>146</v>
      </c>
      <c r="D115" s="88">
        <f t="shared" si="12"/>
        <v>1</v>
      </c>
      <c r="E115" s="88">
        <f>IF(ISBLANK('Breastfeeding distribution'!$D$2),1.77,(1.77-'Breastfeeding distribution'!$D$2)/(1-'Breastfeeding distribution'!$D$2))</f>
        <v>1.842172950146391</v>
      </c>
      <c r="F115" s="88">
        <f t="shared" si="13"/>
        <v>1</v>
      </c>
      <c r="G115" s="88">
        <f t="shared" si="13"/>
        <v>1</v>
      </c>
      <c r="H115" s="88">
        <f t="shared" si="13"/>
        <v>1</v>
      </c>
    </row>
    <row r="116" spans="1:8" x14ac:dyDescent="0.25">
      <c r="B116" s="104"/>
      <c r="C116" s="8" t="s">
        <v>147</v>
      </c>
      <c r="D116" s="88">
        <f t="shared" si="12"/>
        <v>1</v>
      </c>
      <c r="E116" s="88">
        <f t="shared" ref="E116:E123" si="14">IF(E10=1,1,E10*1.05)</f>
        <v>1</v>
      </c>
      <c r="F116" s="88">
        <f t="shared" si="13"/>
        <v>1</v>
      </c>
      <c r="G116" s="88">
        <f t="shared" si="13"/>
        <v>1</v>
      </c>
      <c r="H116" s="88">
        <f t="shared" si="13"/>
        <v>1</v>
      </c>
    </row>
    <row r="117" spans="1:8" x14ac:dyDescent="0.25">
      <c r="B117" s="103" t="s">
        <v>78</v>
      </c>
      <c r="C117" s="8" t="s">
        <v>145</v>
      </c>
      <c r="D117" s="88">
        <f t="shared" si="12"/>
        <v>1</v>
      </c>
      <c r="E117" s="88">
        <f t="shared" si="14"/>
        <v>1</v>
      </c>
      <c r="F117" s="88">
        <v>2.11</v>
      </c>
      <c r="G117" s="88">
        <f t="shared" ref="G117:H119" si="15">IF(G11=1,1,G11*1.05)</f>
        <v>1</v>
      </c>
      <c r="H117" s="88">
        <f t="shared" si="15"/>
        <v>1</v>
      </c>
    </row>
    <row r="118" spans="1:8" x14ac:dyDescent="0.25">
      <c r="B118" s="104"/>
      <c r="C118" s="8" t="s">
        <v>146</v>
      </c>
      <c r="D118" s="88">
        <f t="shared" si="12"/>
        <v>1</v>
      </c>
      <c r="E118" s="88">
        <f t="shared" si="14"/>
        <v>1</v>
      </c>
      <c r="F118" s="88">
        <v>2.11</v>
      </c>
      <c r="G118" s="88">
        <f t="shared" si="15"/>
        <v>1</v>
      </c>
      <c r="H118" s="88">
        <f t="shared" si="15"/>
        <v>1</v>
      </c>
    </row>
    <row r="119" spans="1:8" x14ac:dyDescent="0.25">
      <c r="B119" s="104"/>
      <c r="C119" s="8" t="s">
        <v>147</v>
      </c>
      <c r="D119" s="88">
        <f t="shared" si="12"/>
        <v>1</v>
      </c>
      <c r="E119" s="88">
        <f t="shared" si="14"/>
        <v>1</v>
      </c>
      <c r="F119" s="88">
        <f>IF(F13=1,1,F13*1.05)</f>
        <v>1</v>
      </c>
      <c r="G119" s="88">
        <f t="shared" si="15"/>
        <v>1</v>
      </c>
      <c r="H119" s="88">
        <f t="shared" si="15"/>
        <v>1</v>
      </c>
    </row>
    <row r="120" spans="1:8" x14ac:dyDescent="0.25">
      <c r="B120" s="103" t="s">
        <v>79</v>
      </c>
      <c r="C120" s="8" t="s">
        <v>145</v>
      </c>
      <c r="D120" s="88">
        <f t="shared" si="12"/>
        <v>1</v>
      </c>
      <c r="E120" s="88">
        <f t="shared" si="14"/>
        <v>1</v>
      </c>
      <c r="F120" s="88">
        <f>IF(F14=1,1,F14*1.05)</f>
        <v>1</v>
      </c>
      <c r="G120" s="88">
        <v>2.11</v>
      </c>
      <c r="H120" s="88">
        <f>IF(H14=1,1,H14*1.05)</f>
        <v>1</v>
      </c>
    </row>
    <row r="121" spans="1:8" x14ac:dyDescent="0.25">
      <c r="B121" s="104"/>
      <c r="C121" s="8" t="s">
        <v>146</v>
      </c>
      <c r="D121" s="88">
        <f t="shared" si="12"/>
        <v>1</v>
      </c>
      <c r="E121" s="88">
        <f t="shared" si="14"/>
        <v>1</v>
      </c>
      <c r="F121" s="88">
        <f>IF(F15=1,1,F15*1.05)</f>
        <v>1</v>
      </c>
      <c r="G121" s="88">
        <v>2.11</v>
      </c>
      <c r="H121" s="88">
        <f>IF(H15=1,1,H15*1.05)</f>
        <v>1</v>
      </c>
    </row>
    <row r="122" spans="1:8" x14ac:dyDescent="0.25">
      <c r="B122" s="104"/>
      <c r="C122" s="8" t="s">
        <v>147</v>
      </c>
      <c r="D122" s="88">
        <f t="shared" si="12"/>
        <v>1</v>
      </c>
      <c r="E122" s="88">
        <f t="shared" si="14"/>
        <v>1</v>
      </c>
      <c r="F122" s="88">
        <f>IF(F16=1,1,F16*1.05)</f>
        <v>1</v>
      </c>
      <c r="G122" s="88">
        <f>IF(G16=1,1,G16*1.05)</f>
        <v>1</v>
      </c>
      <c r="H122" s="88">
        <f>IF(H16=1,1,H16*1.05)</f>
        <v>1</v>
      </c>
    </row>
    <row r="123" spans="1:8" ht="13" customHeight="1" x14ac:dyDescent="0.25">
      <c r="B123" s="65" t="s">
        <v>150</v>
      </c>
      <c r="C123" s="8" t="s">
        <v>147</v>
      </c>
      <c r="D123" s="88">
        <f t="shared" si="12"/>
        <v>1.1025</v>
      </c>
      <c r="E123" s="88">
        <f t="shared" si="14"/>
        <v>1.1025</v>
      </c>
      <c r="F123" s="88">
        <f>IF(F17=1,1,F17*1.05)</f>
        <v>1.1025</v>
      </c>
      <c r="G123" s="88">
        <f>IF(G17=1,1,G17*1.05)</f>
        <v>1.1025</v>
      </c>
      <c r="H123" s="88">
        <f>IF(H17=1,1,H17*1.05)</f>
        <v>1</v>
      </c>
    </row>
    <row r="124" spans="1:8" x14ac:dyDescent="0.25">
      <c r="D124" s="86"/>
      <c r="E124" s="86"/>
      <c r="F124" s="86"/>
      <c r="G124" s="86"/>
      <c r="H124" s="86"/>
    </row>
    <row r="125" spans="1:8" ht="13" customHeight="1" x14ac:dyDescent="0.3">
      <c r="A125" s="4" t="s">
        <v>241</v>
      </c>
      <c r="B125" s="103" t="s">
        <v>90</v>
      </c>
      <c r="C125" s="8" t="s">
        <v>145</v>
      </c>
      <c r="D125" s="88">
        <f t="shared" ref="D125:H134" si="16">IF(D19=1,1,D19*1.05)</f>
        <v>1</v>
      </c>
      <c r="E125" s="88">
        <f t="shared" si="16"/>
        <v>1</v>
      </c>
      <c r="F125" s="88">
        <f t="shared" si="16"/>
        <v>1.0289999999999999</v>
      </c>
      <c r="G125" s="88">
        <f t="shared" si="16"/>
        <v>1.0289999999999999</v>
      </c>
      <c r="H125" s="88">
        <f t="shared" si="16"/>
        <v>1</v>
      </c>
    </row>
    <row r="126" spans="1:8" x14ac:dyDescent="0.25">
      <c r="B126" s="104"/>
      <c r="C126" s="8" t="s">
        <v>146</v>
      </c>
      <c r="D126" s="88">
        <f t="shared" si="16"/>
        <v>1</v>
      </c>
      <c r="E126" s="88">
        <f t="shared" si="16"/>
        <v>1</v>
      </c>
      <c r="F126" s="88">
        <f t="shared" si="16"/>
        <v>1.0289999999999999</v>
      </c>
      <c r="G126" s="88">
        <f t="shared" si="16"/>
        <v>1.0289999999999999</v>
      </c>
      <c r="H126" s="88">
        <f t="shared" si="16"/>
        <v>1</v>
      </c>
    </row>
    <row r="127" spans="1:8" x14ac:dyDescent="0.25">
      <c r="B127" s="104"/>
      <c r="C127" s="8" t="s">
        <v>147</v>
      </c>
      <c r="D127" s="88">
        <f t="shared" si="16"/>
        <v>1</v>
      </c>
      <c r="E127" s="88">
        <f t="shared" si="16"/>
        <v>1</v>
      </c>
      <c r="F127" s="88">
        <f t="shared" si="16"/>
        <v>1.0395000000000001</v>
      </c>
      <c r="G127" s="88">
        <f t="shared" si="16"/>
        <v>1.0395000000000001</v>
      </c>
      <c r="H127" s="88">
        <f t="shared" si="16"/>
        <v>1</v>
      </c>
    </row>
    <row r="128" spans="1:8" x14ac:dyDescent="0.25">
      <c r="B128" s="103" t="s">
        <v>67</v>
      </c>
      <c r="C128" s="8" t="s">
        <v>145</v>
      </c>
      <c r="D128" s="88">
        <f t="shared" si="16"/>
        <v>1</v>
      </c>
      <c r="E128" s="88">
        <f t="shared" si="16"/>
        <v>1</v>
      </c>
      <c r="F128" s="88">
        <f t="shared" si="16"/>
        <v>1</v>
      </c>
      <c r="G128" s="88">
        <f t="shared" si="16"/>
        <v>1</v>
      </c>
      <c r="H128" s="88">
        <f t="shared" si="16"/>
        <v>1</v>
      </c>
    </row>
    <row r="129" spans="1:8" x14ac:dyDescent="0.25">
      <c r="B129" s="104"/>
      <c r="C129" s="8" t="s">
        <v>146</v>
      </c>
      <c r="D129" s="88">
        <f t="shared" si="16"/>
        <v>1</v>
      </c>
      <c r="E129" s="88">
        <f t="shared" si="16"/>
        <v>1</v>
      </c>
      <c r="F129" s="88">
        <f t="shared" si="16"/>
        <v>1</v>
      </c>
      <c r="G129" s="88">
        <f t="shared" si="16"/>
        <v>1</v>
      </c>
      <c r="H129" s="88">
        <f t="shared" si="16"/>
        <v>1</v>
      </c>
    </row>
    <row r="130" spans="1:8" x14ac:dyDescent="0.25">
      <c r="B130" s="104"/>
      <c r="C130" s="8" t="s">
        <v>147</v>
      </c>
      <c r="D130" s="88">
        <f t="shared" si="16"/>
        <v>1</v>
      </c>
      <c r="E130" s="88">
        <f t="shared" si="16"/>
        <v>1</v>
      </c>
      <c r="F130" s="88">
        <f t="shared" si="16"/>
        <v>1.0395000000000001</v>
      </c>
      <c r="G130" s="88">
        <f t="shared" si="16"/>
        <v>1.0395000000000001</v>
      </c>
      <c r="H130" s="88">
        <f t="shared" si="16"/>
        <v>1</v>
      </c>
    </row>
    <row r="131" spans="1:8" x14ac:dyDescent="0.25">
      <c r="B131" s="103" t="s">
        <v>77</v>
      </c>
      <c r="C131" s="8" t="s">
        <v>145</v>
      </c>
      <c r="D131" s="88">
        <f t="shared" si="16"/>
        <v>1</v>
      </c>
      <c r="E131" s="88">
        <f t="shared" si="16"/>
        <v>1</v>
      </c>
      <c r="F131" s="88">
        <f t="shared" si="16"/>
        <v>1</v>
      </c>
      <c r="G131" s="88">
        <f t="shared" si="16"/>
        <v>1</v>
      </c>
      <c r="H131" s="88">
        <f t="shared" si="16"/>
        <v>1</v>
      </c>
    </row>
    <row r="132" spans="1:8" x14ac:dyDescent="0.25">
      <c r="B132" s="104"/>
      <c r="C132" s="8" t="s">
        <v>146</v>
      </c>
      <c r="D132" s="88">
        <f t="shared" si="16"/>
        <v>1</v>
      </c>
      <c r="E132" s="88">
        <f t="shared" si="16"/>
        <v>1</v>
      </c>
      <c r="F132" s="88">
        <f t="shared" si="16"/>
        <v>1</v>
      </c>
      <c r="G132" s="88">
        <f t="shared" si="16"/>
        <v>1</v>
      </c>
      <c r="H132" s="88">
        <f t="shared" si="16"/>
        <v>1</v>
      </c>
    </row>
    <row r="133" spans="1:8" x14ac:dyDescent="0.25">
      <c r="B133" s="104"/>
      <c r="C133" s="8" t="s">
        <v>147</v>
      </c>
      <c r="D133" s="88">
        <f t="shared" si="16"/>
        <v>1</v>
      </c>
      <c r="E133" s="88">
        <f t="shared" si="16"/>
        <v>1</v>
      </c>
      <c r="F133" s="88">
        <f t="shared" si="16"/>
        <v>1.0395000000000001</v>
      </c>
      <c r="G133" s="88">
        <f t="shared" si="16"/>
        <v>1.0395000000000001</v>
      </c>
      <c r="H133" s="88">
        <f t="shared" si="16"/>
        <v>1</v>
      </c>
    </row>
    <row r="134" spans="1:8" x14ac:dyDescent="0.25">
      <c r="B134" s="103" t="s">
        <v>78</v>
      </c>
      <c r="C134" s="8" t="s">
        <v>145</v>
      </c>
      <c r="D134" s="88">
        <f t="shared" si="16"/>
        <v>1</v>
      </c>
      <c r="E134" s="88">
        <f t="shared" si="16"/>
        <v>1</v>
      </c>
      <c r="F134" s="88">
        <f t="shared" si="16"/>
        <v>0.81900000000000006</v>
      </c>
      <c r="G134" s="88">
        <f t="shared" si="16"/>
        <v>1</v>
      </c>
      <c r="H134" s="88">
        <f t="shared" si="16"/>
        <v>1</v>
      </c>
    </row>
    <row r="135" spans="1:8" x14ac:dyDescent="0.25">
      <c r="B135" s="104"/>
      <c r="C135" s="8" t="s">
        <v>146</v>
      </c>
      <c r="D135" s="88">
        <f t="shared" ref="D135:H144" si="17">IF(D29=1,1,D29*1.05)</f>
        <v>1</v>
      </c>
      <c r="E135" s="88">
        <f t="shared" si="17"/>
        <v>1</v>
      </c>
      <c r="F135" s="88">
        <f t="shared" si="17"/>
        <v>0.81900000000000006</v>
      </c>
      <c r="G135" s="88">
        <f t="shared" si="17"/>
        <v>1</v>
      </c>
      <c r="H135" s="88">
        <f t="shared" si="17"/>
        <v>1</v>
      </c>
    </row>
    <row r="136" spans="1:8" x14ac:dyDescent="0.25">
      <c r="B136" s="104"/>
      <c r="C136" s="8" t="s">
        <v>147</v>
      </c>
      <c r="D136" s="88">
        <f t="shared" si="17"/>
        <v>1</v>
      </c>
      <c r="E136" s="88">
        <f t="shared" si="17"/>
        <v>1</v>
      </c>
      <c r="F136" s="88">
        <f t="shared" si="17"/>
        <v>1.0395000000000001</v>
      </c>
      <c r="G136" s="88">
        <f t="shared" si="17"/>
        <v>1.0395000000000001</v>
      </c>
      <c r="H136" s="88">
        <f t="shared" si="17"/>
        <v>1</v>
      </c>
    </row>
    <row r="137" spans="1:8" x14ac:dyDescent="0.25">
      <c r="B137" s="103" t="s">
        <v>79</v>
      </c>
      <c r="C137" s="8" t="s">
        <v>145</v>
      </c>
      <c r="D137" s="88">
        <f t="shared" si="17"/>
        <v>1</v>
      </c>
      <c r="E137" s="88">
        <f t="shared" si="17"/>
        <v>1</v>
      </c>
      <c r="F137" s="88">
        <f t="shared" si="17"/>
        <v>1</v>
      </c>
      <c r="G137" s="88">
        <f t="shared" si="17"/>
        <v>0.81900000000000006</v>
      </c>
      <c r="H137" s="88">
        <f t="shared" si="17"/>
        <v>1</v>
      </c>
    </row>
    <row r="138" spans="1:8" x14ac:dyDescent="0.25">
      <c r="B138" s="104"/>
      <c r="C138" s="8" t="s">
        <v>146</v>
      </c>
      <c r="D138" s="88">
        <f t="shared" si="17"/>
        <v>1</v>
      </c>
      <c r="E138" s="88">
        <f t="shared" si="17"/>
        <v>1</v>
      </c>
      <c r="F138" s="88">
        <f t="shared" si="17"/>
        <v>1</v>
      </c>
      <c r="G138" s="88">
        <f t="shared" si="17"/>
        <v>0.81900000000000006</v>
      </c>
      <c r="H138" s="88">
        <f t="shared" si="17"/>
        <v>1</v>
      </c>
    </row>
    <row r="139" spans="1:8" x14ac:dyDescent="0.25">
      <c r="B139" s="104"/>
      <c r="C139" s="8" t="s">
        <v>147</v>
      </c>
      <c r="D139" s="88">
        <f t="shared" si="17"/>
        <v>1</v>
      </c>
      <c r="E139" s="88">
        <f t="shared" si="17"/>
        <v>1</v>
      </c>
      <c r="F139" s="88">
        <f t="shared" si="17"/>
        <v>1</v>
      </c>
      <c r="G139" s="88">
        <f t="shared" si="17"/>
        <v>1.0395000000000001</v>
      </c>
      <c r="H139" s="88">
        <f t="shared" si="17"/>
        <v>1</v>
      </c>
    </row>
    <row r="140" spans="1:8" ht="13" customHeight="1" x14ac:dyDescent="0.25">
      <c r="B140" s="65" t="s">
        <v>150</v>
      </c>
      <c r="C140" s="8" t="s">
        <v>147</v>
      </c>
      <c r="D140" s="88">
        <f t="shared" si="17"/>
        <v>1</v>
      </c>
      <c r="E140" s="88">
        <f t="shared" si="17"/>
        <v>1</v>
      </c>
      <c r="F140" s="88">
        <f t="shared" si="17"/>
        <v>0.99749999999999994</v>
      </c>
      <c r="G140" s="88">
        <f t="shared" si="17"/>
        <v>0.99749999999999994</v>
      </c>
      <c r="H140" s="88">
        <f t="shared" si="17"/>
        <v>1</v>
      </c>
    </row>
    <row r="141" spans="1:8" x14ac:dyDescent="0.25">
      <c r="D141" s="86"/>
      <c r="E141" s="86"/>
      <c r="F141" s="86"/>
      <c r="G141" s="86"/>
      <c r="H141" s="86"/>
    </row>
    <row r="142" spans="1:8" ht="13" customHeight="1" x14ac:dyDescent="0.3">
      <c r="A142" s="66" t="s">
        <v>242</v>
      </c>
      <c r="B142" s="103" t="s">
        <v>90</v>
      </c>
      <c r="C142" s="8" t="s">
        <v>145</v>
      </c>
      <c r="D142" s="88">
        <f t="shared" ref="D142:H151" si="18">IF(D36=1,1,D36*1.05)</f>
        <v>1</v>
      </c>
      <c r="E142" s="88">
        <f t="shared" si="18"/>
        <v>1</v>
      </c>
      <c r="F142" s="88">
        <f t="shared" si="18"/>
        <v>1</v>
      </c>
      <c r="G142" s="88">
        <f t="shared" si="18"/>
        <v>1</v>
      </c>
      <c r="H142" s="88">
        <f t="shared" si="18"/>
        <v>1</v>
      </c>
    </row>
    <row r="143" spans="1:8" x14ac:dyDescent="0.25">
      <c r="B143" s="104"/>
      <c r="C143" s="8" t="s">
        <v>146</v>
      </c>
      <c r="D143" s="88">
        <f t="shared" si="18"/>
        <v>1</v>
      </c>
      <c r="E143" s="88">
        <f t="shared" si="18"/>
        <v>1</v>
      </c>
      <c r="F143" s="88">
        <f t="shared" si="18"/>
        <v>1</v>
      </c>
      <c r="G143" s="88">
        <f t="shared" si="18"/>
        <v>1</v>
      </c>
      <c r="H143" s="88">
        <f t="shared" si="18"/>
        <v>1</v>
      </c>
    </row>
    <row r="144" spans="1:8" x14ac:dyDescent="0.25">
      <c r="B144" s="104"/>
      <c r="C144" s="8" t="s">
        <v>147</v>
      </c>
      <c r="D144" s="88">
        <f t="shared" si="18"/>
        <v>1</v>
      </c>
      <c r="E144" s="88">
        <f t="shared" si="18"/>
        <v>1</v>
      </c>
      <c r="F144" s="88">
        <f t="shared" si="18"/>
        <v>1</v>
      </c>
      <c r="G144" s="88">
        <f t="shared" si="18"/>
        <v>1</v>
      </c>
      <c r="H144" s="88">
        <f t="shared" si="18"/>
        <v>1</v>
      </c>
    </row>
    <row r="145" spans="2:8" x14ac:dyDescent="0.25">
      <c r="B145" s="103" t="s">
        <v>67</v>
      </c>
      <c r="C145" s="8" t="s">
        <v>145</v>
      </c>
      <c r="D145" s="88">
        <f t="shared" si="18"/>
        <v>1</v>
      </c>
      <c r="E145" s="88">
        <f t="shared" si="18"/>
        <v>1</v>
      </c>
      <c r="F145" s="88">
        <f t="shared" si="18"/>
        <v>1</v>
      </c>
      <c r="G145" s="88">
        <f t="shared" si="18"/>
        <v>1</v>
      </c>
      <c r="H145" s="88">
        <f t="shared" si="18"/>
        <v>1</v>
      </c>
    </row>
    <row r="146" spans="2:8" x14ac:dyDescent="0.25">
      <c r="B146" s="104"/>
      <c r="C146" s="8" t="s">
        <v>146</v>
      </c>
      <c r="D146" s="88">
        <f t="shared" si="18"/>
        <v>1</v>
      </c>
      <c r="E146" s="88">
        <f t="shared" si="18"/>
        <v>1</v>
      </c>
      <c r="F146" s="88">
        <f t="shared" si="18"/>
        <v>1</v>
      </c>
      <c r="G146" s="88">
        <f t="shared" si="18"/>
        <v>1</v>
      </c>
      <c r="H146" s="88">
        <f t="shared" si="18"/>
        <v>1</v>
      </c>
    </row>
    <row r="147" spans="2:8" x14ac:dyDescent="0.25">
      <c r="B147" s="104"/>
      <c r="C147" s="8" t="s">
        <v>147</v>
      </c>
      <c r="D147" s="88">
        <f t="shared" si="18"/>
        <v>1</v>
      </c>
      <c r="E147" s="88">
        <f t="shared" si="18"/>
        <v>1</v>
      </c>
      <c r="F147" s="88">
        <f t="shared" si="18"/>
        <v>1</v>
      </c>
      <c r="G147" s="88">
        <f t="shared" si="18"/>
        <v>1</v>
      </c>
      <c r="H147" s="88">
        <f t="shared" si="18"/>
        <v>1</v>
      </c>
    </row>
    <row r="148" spans="2:8" x14ac:dyDescent="0.25">
      <c r="B148" s="103" t="s">
        <v>77</v>
      </c>
      <c r="C148" s="8" t="s">
        <v>145</v>
      </c>
      <c r="D148" s="88">
        <f t="shared" si="18"/>
        <v>1</v>
      </c>
      <c r="E148" s="88">
        <f t="shared" si="18"/>
        <v>1</v>
      </c>
      <c r="F148" s="88">
        <f t="shared" si="18"/>
        <v>1</v>
      </c>
      <c r="G148" s="88">
        <f t="shared" si="18"/>
        <v>1</v>
      </c>
      <c r="H148" s="88">
        <f t="shared" si="18"/>
        <v>1</v>
      </c>
    </row>
    <row r="149" spans="2:8" x14ac:dyDescent="0.25">
      <c r="B149" s="104"/>
      <c r="C149" s="8" t="s">
        <v>146</v>
      </c>
      <c r="D149" s="88">
        <f t="shared" si="18"/>
        <v>1</v>
      </c>
      <c r="E149" s="88">
        <f t="shared" si="18"/>
        <v>1</v>
      </c>
      <c r="F149" s="88">
        <f t="shared" si="18"/>
        <v>1</v>
      </c>
      <c r="G149" s="88">
        <f t="shared" si="18"/>
        <v>1</v>
      </c>
      <c r="H149" s="88">
        <f t="shared" si="18"/>
        <v>1</v>
      </c>
    </row>
    <row r="150" spans="2:8" x14ac:dyDescent="0.25">
      <c r="B150" s="104"/>
      <c r="C150" s="8" t="s">
        <v>147</v>
      </c>
      <c r="D150" s="88">
        <f t="shared" si="18"/>
        <v>1</v>
      </c>
      <c r="E150" s="88">
        <f t="shared" si="18"/>
        <v>1</v>
      </c>
      <c r="F150" s="88">
        <f t="shared" si="18"/>
        <v>1</v>
      </c>
      <c r="G150" s="88">
        <f t="shared" si="18"/>
        <v>1</v>
      </c>
      <c r="H150" s="88">
        <f t="shared" si="18"/>
        <v>1</v>
      </c>
    </row>
    <row r="151" spans="2:8" x14ac:dyDescent="0.25">
      <c r="B151" s="103" t="s">
        <v>78</v>
      </c>
      <c r="C151" s="8" t="s">
        <v>145</v>
      </c>
      <c r="D151" s="88">
        <f t="shared" si="18"/>
        <v>1</v>
      </c>
      <c r="E151" s="88">
        <f t="shared" si="18"/>
        <v>1</v>
      </c>
      <c r="F151" s="88">
        <f t="shared" si="18"/>
        <v>1.9110000000000003</v>
      </c>
      <c r="G151" s="88">
        <f t="shared" si="18"/>
        <v>1</v>
      </c>
      <c r="H151" s="88">
        <f t="shared" si="18"/>
        <v>1</v>
      </c>
    </row>
    <row r="152" spans="2:8" x14ac:dyDescent="0.25">
      <c r="B152" s="104"/>
      <c r="C152" s="8" t="s">
        <v>146</v>
      </c>
      <c r="D152" s="88">
        <f t="shared" ref="D152:H161" si="19">IF(D46=1,1,D46*1.05)</f>
        <v>1</v>
      </c>
      <c r="E152" s="88">
        <f t="shared" si="19"/>
        <v>1</v>
      </c>
      <c r="F152" s="88">
        <f t="shared" si="19"/>
        <v>1.9110000000000003</v>
      </c>
      <c r="G152" s="88">
        <f t="shared" si="19"/>
        <v>1</v>
      </c>
      <c r="H152" s="88">
        <f t="shared" si="19"/>
        <v>1</v>
      </c>
    </row>
    <row r="153" spans="2:8" x14ac:dyDescent="0.25">
      <c r="B153" s="104"/>
      <c r="C153" s="8" t="s">
        <v>147</v>
      </c>
      <c r="D153" s="88">
        <f t="shared" si="19"/>
        <v>1</v>
      </c>
      <c r="E153" s="88">
        <f t="shared" si="19"/>
        <v>1</v>
      </c>
      <c r="F153" s="88">
        <f t="shared" si="19"/>
        <v>1</v>
      </c>
      <c r="G153" s="88">
        <f t="shared" si="19"/>
        <v>1</v>
      </c>
      <c r="H153" s="88">
        <f t="shared" si="19"/>
        <v>1</v>
      </c>
    </row>
    <row r="154" spans="2:8" x14ac:dyDescent="0.25">
      <c r="B154" s="103" t="s">
        <v>79</v>
      </c>
      <c r="C154" s="8" t="s">
        <v>145</v>
      </c>
      <c r="D154" s="88">
        <f t="shared" si="19"/>
        <v>1</v>
      </c>
      <c r="E154" s="88">
        <f t="shared" si="19"/>
        <v>1</v>
      </c>
      <c r="F154" s="88">
        <f t="shared" si="19"/>
        <v>1</v>
      </c>
      <c r="G154" s="88">
        <f t="shared" si="19"/>
        <v>1.9110000000000003</v>
      </c>
      <c r="H154" s="88">
        <f t="shared" si="19"/>
        <v>1</v>
      </c>
    </row>
    <row r="155" spans="2:8" x14ac:dyDescent="0.25">
      <c r="B155" s="104"/>
      <c r="C155" s="8" t="s">
        <v>146</v>
      </c>
      <c r="D155" s="88">
        <f t="shared" si="19"/>
        <v>1</v>
      </c>
      <c r="E155" s="88">
        <f t="shared" si="19"/>
        <v>1</v>
      </c>
      <c r="F155" s="88">
        <f t="shared" si="19"/>
        <v>1</v>
      </c>
      <c r="G155" s="88">
        <f t="shared" si="19"/>
        <v>1.9110000000000003</v>
      </c>
      <c r="H155" s="88">
        <f t="shared" si="19"/>
        <v>1</v>
      </c>
    </row>
    <row r="156" spans="2:8" x14ac:dyDescent="0.25">
      <c r="B156" s="104"/>
      <c r="C156" s="8" t="s">
        <v>147</v>
      </c>
      <c r="D156" s="88">
        <f t="shared" si="19"/>
        <v>1</v>
      </c>
      <c r="E156" s="88">
        <f t="shared" si="19"/>
        <v>1</v>
      </c>
      <c r="F156" s="88">
        <f t="shared" si="19"/>
        <v>1</v>
      </c>
      <c r="G156" s="88">
        <f t="shared" si="19"/>
        <v>1</v>
      </c>
      <c r="H156" s="88">
        <f t="shared" si="19"/>
        <v>1</v>
      </c>
    </row>
    <row r="157" spans="2:8" ht="13" customHeight="1" x14ac:dyDescent="0.25">
      <c r="B157" s="65" t="s">
        <v>150</v>
      </c>
      <c r="C157" s="8" t="s">
        <v>147</v>
      </c>
      <c r="D157" s="88">
        <f t="shared" si="19"/>
        <v>1.1025</v>
      </c>
      <c r="E157" s="88">
        <f t="shared" si="19"/>
        <v>1.1025</v>
      </c>
      <c r="F157" s="88">
        <f t="shared" si="19"/>
        <v>1.1025</v>
      </c>
      <c r="G157" s="88">
        <f t="shared" si="19"/>
        <v>1.1025</v>
      </c>
      <c r="H157" s="88">
        <f t="shared" si="19"/>
        <v>1</v>
      </c>
    </row>
  </sheetData>
  <sheetProtection algorithmName="SHA-512" hashValue="L76VU8ykSDBuTlYgb2NNpcBy4OEu24bfsKaQhUdBKk6y5NS/LJ7Sfpi+gG+WcNAmRpLv1SA9k8KbxdIVu6kGNw==" saltValue="INshWzVhoYM1JVnwBE5Hvw==" spinCount="100000" sheet="1" selectLockedCell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zoomScale="85" zoomScaleNormal="85" workbookViewId="0">
      <selection activeCell="D12" sqref="D12"/>
    </sheetView>
  </sheetViews>
  <sheetFormatPr defaultColWidth="16.08984375" defaultRowHeight="15.75" customHeight="1" x14ac:dyDescent="0.25"/>
  <cols>
    <col min="1" max="1" width="23.90625" style="8" customWidth="1"/>
    <col min="2" max="2" width="34.08984375" style="8" customWidth="1"/>
    <col min="3" max="3" width="11.36328125" style="8" bestFit="1" customWidth="1"/>
    <col min="4" max="4" width="11.90625" style="8" customWidth="1"/>
    <col min="5" max="6" width="15" style="8" customWidth="1"/>
    <col min="7" max="7" width="16.08984375" style="8" customWidth="1"/>
    <col min="8" max="16384" width="16.08984375" style="8"/>
  </cols>
  <sheetData>
    <row r="1" spans="1:6" s="68" customFormat="1" ht="18.75" customHeight="1" x14ac:dyDescent="0.3">
      <c r="A1" s="67" t="s">
        <v>243</v>
      </c>
    </row>
    <row r="2" spans="1:6" ht="15.75" customHeight="1" x14ac:dyDescent="0.3">
      <c r="B2" s="69"/>
      <c r="C2" s="26" t="s">
        <v>43</v>
      </c>
      <c r="D2" s="70" t="s">
        <v>42</v>
      </c>
      <c r="E2" s="70" t="s">
        <v>41</v>
      </c>
      <c r="F2" s="70" t="s">
        <v>40</v>
      </c>
    </row>
    <row r="3" spans="1:6" ht="15.75" customHeight="1" x14ac:dyDescent="0.3">
      <c r="A3" s="4" t="s">
        <v>244</v>
      </c>
      <c r="B3" s="14"/>
      <c r="C3" s="71"/>
      <c r="D3" s="72"/>
      <c r="E3" s="72"/>
      <c r="F3" s="72"/>
    </row>
    <row r="4" spans="1:6" ht="15.75" customHeight="1" x14ac:dyDescent="0.25">
      <c r="B4" s="5" t="s">
        <v>26</v>
      </c>
      <c r="C4" s="89">
        <v>1</v>
      </c>
      <c r="D4" s="90">
        <v>1</v>
      </c>
      <c r="E4" s="90">
        <v>1</v>
      </c>
      <c r="F4" s="90">
        <v>1</v>
      </c>
    </row>
    <row r="5" spans="1:6" ht="15.75" customHeight="1" x14ac:dyDescent="0.25">
      <c r="B5" s="5" t="s">
        <v>27</v>
      </c>
      <c r="C5" s="89">
        <v>1</v>
      </c>
      <c r="D5" s="90">
        <v>1.41</v>
      </c>
      <c r="E5" s="90">
        <v>1.49</v>
      </c>
      <c r="F5" s="90">
        <v>3.03</v>
      </c>
    </row>
    <row r="6" spans="1:6" ht="15.75" customHeight="1" x14ac:dyDescent="0.25">
      <c r="B6" s="5" t="s">
        <v>28</v>
      </c>
      <c r="C6" s="89">
        <v>1</v>
      </c>
      <c r="D6" s="90">
        <v>1.18</v>
      </c>
      <c r="E6" s="90">
        <v>1.1000000000000001</v>
      </c>
      <c r="F6" s="90">
        <v>1.77</v>
      </c>
    </row>
    <row r="7" spans="1:6" ht="15.75" customHeight="1" x14ac:dyDescent="0.25">
      <c r="B7" s="5" t="s">
        <v>29</v>
      </c>
      <c r="C7" s="89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C8" s="73"/>
      <c r="D8" s="64"/>
      <c r="E8" s="64"/>
      <c r="F8" s="64"/>
    </row>
    <row r="9" spans="1:6" ht="15.75" customHeight="1" x14ac:dyDescent="0.3">
      <c r="A9" s="4" t="s">
        <v>245</v>
      </c>
      <c r="C9" s="89">
        <v>1</v>
      </c>
      <c r="D9" s="90">
        <v>1.53</v>
      </c>
      <c r="E9" s="90">
        <v>1.32</v>
      </c>
      <c r="F9" s="90">
        <v>1.53</v>
      </c>
    </row>
    <row r="10" spans="1:6" ht="15.75" customHeight="1" x14ac:dyDescent="0.25">
      <c r="C10" s="73"/>
      <c r="D10" s="64"/>
      <c r="E10" s="64"/>
      <c r="F10" s="64"/>
    </row>
    <row r="11" spans="1:6" s="68" customFormat="1" ht="15" customHeight="1" x14ac:dyDescent="0.3">
      <c r="A11" s="67" t="s">
        <v>246</v>
      </c>
      <c r="C11" s="74"/>
      <c r="D11" s="75"/>
      <c r="E11" s="75"/>
      <c r="F11" s="75"/>
    </row>
    <row r="12" spans="1:6" ht="15.75" customHeight="1" x14ac:dyDescent="0.3">
      <c r="A12" s="4" t="s">
        <v>247</v>
      </c>
      <c r="C12" s="73"/>
      <c r="D12" s="64"/>
      <c r="E12" s="64"/>
      <c r="F12" s="64"/>
    </row>
    <row r="13" spans="1:6" ht="15.75" customHeight="1" x14ac:dyDescent="0.25">
      <c r="B13" s="11" t="s">
        <v>248</v>
      </c>
      <c r="C13" s="89">
        <v>1</v>
      </c>
      <c r="D13" s="90">
        <v>5</v>
      </c>
      <c r="E13" s="90">
        <v>6.4</v>
      </c>
      <c r="F13" s="90">
        <v>46.5</v>
      </c>
    </row>
    <row r="14" spans="1:6" ht="15.75" customHeight="1" x14ac:dyDescent="0.25">
      <c r="B14" s="11" t="s">
        <v>109</v>
      </c>
      <c r="C14" s="89">
        <v>1</v>
      </c>
      <c r="D14" s="90">
        <v>2.52</v>
      </c>
      <c r="E14" s="90">
        <v>1.96</v>
      </c>
      <c r="F14" s="90">
        <v>4.1900000000000004</v>
      </c>
    </row>
    <row r="15" spans="1:6" ht="15.75" customHeight="1" x14ac:dyDescent="0.25">
      <c r="B15" s="11" t="s">
        <v>110</v>
      </c>
      <c r="C15" s="89">
        <v>1</v>
      </c>
      <c r="D15" s="90">
        <v>2.52</v>
      </c>
      <c r="E15" s="90">
        <v>1.96</v>
      </c>
      <c r="F15" s="90">
        <v>4.1900000000000004</v>
      </c>
    </row>
    <row r="16" spans="1:6" ht="15.75" customHeight="1" x14ac:dyDescent="0.3">
      <c r="A16" s="4"/>
      <c r="B16" s="11"/>
      <c r="C16" s="76"/>
      <c r="D16" s="64"/>
      <c r="E16" s="64"/>
      <c r="F16" s="64"/>
    </row>
    <row r="17" spans="1:6" ht="15.75" customHeight="1" x14ac:dyDescent="0.3">
      <c r="A17" s="4" t="s">
        <v>249</v>
      </c>
      <c r="B17" s="14"/>
      <c r="C17" s="77"/>
      <c r="D17" s="78"/>
      <c r="E17" s="78"/>
      <c r="F17" s="78"/>
    </row>
    <row r="18" spans="1:6" ht="15.75" customHeight="1" x14ac:dyDescent="0.25">
      <c r="B18" s="5" t="s">
        <v>68</v>
      </c>
      <c r="C18" s="89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B19" s="5" t="s">
        <v>69</v>
      </c>
      <c r="C19" s="89">
        <v>1</v>
      </c>
      <c r="D19" s="90">
        <v>2.0699999999999998</v>
      </c>
      <c r="E19" s="90">
        <v>3.39</v>
      </c>
      <c r="F19" s="90">
        <v>11.89</v>
      </c>
    </row>
    <row r="20" spans="1:6" ht="15.75" customHeight="1" x14ac:dyDescent="0.25">
      <c r="B20" s="5" t="s">
        <v>70</v>
      </c>
      <c r="C20" s="89">
        <v>1</v>
      </c>
      <c r="D20" s="90">
        <v>2.0699999999999998</v>
      </c>
      <c r="E20" s="90">
        <v>3.39</v>
      </c>
      <c r="F20" s="90">
        <v>11.89</v>
      </c>
    </row>
    <row r="21" spans="1:6" ht="15.75" customHeight="1" x14ac:dyDescent="0.25">
      <c r="B21" s="5" t="s">
        <v>71</v>
      </c>
      <c r="C21" s="89">
        <v>1</v>
      </c>
      <c r="D21" s="90">
        <v>2.0699999999999998</v>
      </c>
      <c r="E21" s="90">
        <v>3.39</v>
      </c>
      <c r="F21" s="90">
        <v>11.89</v>
      </c>
    </row>
    <row r="22" spans="1:6" ht="15.75" customHeight="1" x14ac:dyDescent="0.25">
      <c r="B22" s="5" t="s">
        <v>72</v>
      </c>
      <c r="C22" s="89">
        <v>1</v>
      </c>
      <c r="D22" s="90">
        <v>1</v>
      </c>
      <c r="E22" s="90">
        <v>999.99</v>
      </c>
      <c r="F22" s="90">
        <v>999.99</v>
      </c>
    </row>
    <row r="23" spans="1:6" ht="15.75" customHeight="1" x14ac:dyDescent="0.25">
      <c r="B23" s="5" t="s">
        <v>73</v>
      </c>
      <c r="C23" s="89">
        <v>1</v>
      </c>
      <c r="D23" s="90">
        <v>1</v>
      </c>
      <c r="E23" s="90">
        <v>1</v>
      </c>
      <c r="F23" s="90">
        <v>1</v>
      </c>
    </row>
    <row r="24" spans="1:6" ht="15.75" customHeight="1" x14ac:dyDescent="0.25">
      <c r="B24" s="5" t="s">
        <v>74</v>
      </c>
      <c r="C24" s="89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B25" s="5" t="s">
        <v>75</v>
      </c>
      <c r="C25" s="89">
        <v>1</v>
      </c>
      <c r="D25" s="90">
        <v>1</v>
      </c>
      <c r="E25" s="90">
        <v>1</v>
      </c>
      <c r="F25" s="90">
        <v>1</v>
      </c>
    </row>
    <row r="26" spans="1:6" ht="15.75" customHeight="1" x14ac:dyDescent="0.25">
      <c r="B26" s="11"/>
    </row>
    <row r="27" spans="1:6" ht="15.75" customHeight="1" x14ac:dyDescent="0.3">
      <c r="A27" s="92" t="s">
        <v>235</v>
      </c>
      <c r="B27" s="93"/>
      <c r="C27" s="94"/>
      <c r="D27" s="95"/>
      <c r="E27" s="95"/>
      <c r="F27" s="95"/>
    </row>
    <row r="28" spans="1:6" s="68" customFormat="1" ht="18.75" customHeight="1" x14ac:dyDescent="0.3">
      <c r="A28" s="67" t="s">
        <v>243</v>
      </c>
    </row>
    <row r="29" spans="1:6" ht="15.75" customHeight="1" x14ac:dyDescent="0.3">
      <c r="B29" s="69"/>
      <c r="C29" s="26" t="s">
        <v>43</v>
      </c>
      <c r="D29" s="70" t="s">
        <v>42</v>
      </c>
      <c r="E29" s="70" t="s">
        <v>41</v>
      </c>
      <c r="F29" s="70" t="s">
        <v>40</v>
      </c>
    </row>
    <row r="30" spans="1:6" ht="15.75" customHeight="1" x14ac:dyDescent="0.3">
      <c r="A30" s="4" t="s">
        <v>250</v>
      </c>
      <c r="B30" s="14"/>
      <c r="C30" s="71"/>
      <c r="D30" s="72"/>
      <c r="E30" s="72"/>
      <c r="F30" s="72"/>
    </row>
    <row r="31" spans="1:6" ht="15.75" customHeight="1" x14ac:dyDescent="0.25">
      <c r="B31" s="5" t="s">
        <v>26</v>
      </c>
      <c r="C31" s="91">
        <f t="shared" ref="C31:F34" si="0">IF(C4=1,1,C4*0.9)</f>
        <v>1</v>
      </c>
      <c r="D31" s="91">
        <f t="shared" si="0"/>
        <v>1</v>
      </c>
      <c r="E31" s="91">
        <f t="shared" si="0"/>
        <v>1</v>
      </c>
      <c r="F31" s="91">
        <f t="shared" si="0"/>
        <v>1</v>
      </c>
    </row>
    <row r="32" spans="1:6" ht="15.75" customHeight="1" x14ac:dyDescent="0.25">
      <c r="B32" s="5" t="s">
        <v>27</v>
      </c>
      <c r="C32" s="91">
        <f t="shared" si="0"/>
        <v>1</v>
      </c>
      <c r="D32" s="91">
        <f t="shared" si="0"/>
        <v>1.2689999999999999</v>
      </c>
      <c r="E32" s="91">
        <f t="shared" si="0"/>
        <v>1.341</v>
      </c>
      <c r="F32" s="91">
        <f t="shared" si="0"/>
        <v>2.7269999999999999</v>
      </c>
    </row>
    <row r="33" spans="1:6" ht="15.75" customHeight="1" x14ac:dyDescent="0.25">
      <c r="B33" s="5" t="s">
        <v>28</v>
      </c>
      <c r="C33" s="91">
        <f t="shared" si="0"/>
        <v>1</v>
      </c>
      <c r="D33" s="91">
        <f t="shared" si="0"/>
        <v>1.0620000000000001</v>
      </c>
      <c r="E33" s="91">
        <f t="shared" si="0"/>
        <v>0.9900000000000001</v>
      </c>
      <c r="F33" s="91">
        <f t="shared" si="0"/>
        <v>1.593</v>
      </c>
    </row>
    <row r="34" spans="1:6" ht="15.75" customHeight="1" x14ac:dyDescent="0.25">
      <c r="B34" s="5" t="s">
        <v>29</v>
      </c>
      <c r="C34" s="91">
        <f t="shared" si="0"/>
        <v>1</v>
      </c>
      <c r="D34" s="91">
        <f t="shared" si="0"/>
        <v>1</v>
      </c>
      <c r="E34" s="91">
        <f t="shared" si="0"/>
        <v>1</v>
      </c>
      <c r="F34" s="91">
        <f t="shared" si="0"/>
        <v>1</v>
      </c>
    </row>
    <row r="35" spans="1:6" ht="15.75" customHeight="1" x14ac:dyDescent="0.25">
      <c r="C35" s="73"/>
      <c r="D35" s="64"/>
      <c r="E35" s="64"/>
      <c r="F35" s="64"/>
    </row>
    <row r="36" spans="1:6" ht="15.75" customHeight="1" x14ac:dyDescent="0.3">
      <c r="A36" s="4" t="s">
        <v>251</v>
      </c>
      <c r="C36" s="91">
        <f>IF(C9=1,1,C9*0.9)</f>
        <v>1</v>
      </c>
      <c r="D36" s="91">
        <f>IF(D9=1,1,D9*0.9)</f>
        <v>1.377</v>
      </c>
      <c r="E36" s="91">
        <f>IF(E9=1,1,E9*0.9)</f>
        <v>1.1880000000000002</v>
      </c>
      <c r="F36" s="91">
        <f>IF(F9=1,1,F9*0.9)</f>
        <v>1.377</v>
      </c>
    </row>
    <row r="38" spans="1:6" ht="15.75" customHeight="1" x14ac:dyDescent="0.3">
      <c r="A38" s="67" t="s">
        <v>246</v>
      </c>
      <c r="B38" s="68"/>
      <c r="C38" s="74"/>
      <c r="D38" s="75"/>
      <c r="E38" s="75"/>
      <c r="F38" s="75"/>
    </row>
    <row r="39" spans="1:6" ht="15.75" customHeight="1" x14ac:dyDescent="0.3">
      <c r="A39" s="4" t="s">
        <v>252</v>
      </c>
      <c r="C39" s="73"/>
      <c r="D39" s="64"/>
      <c r="E39" s="64"/>
      <c r="F39" s="64"/>
    </row>
    <row r="40" spans="1:6" ht="15.75" customHeight="1" x14ac:dyDescent="0.25">
      <c r="B40" s="11" t="s">
        <v>253</v>
      </c>
      <c r="C40" s="91">
        <f t="shared" ref="C40:F42" si="1">IF(C13=1,1,C13*0.9)</f>
        <v>1</v>
      </c>
      <c r="D40" s="91">
        <f t="shared" si="1"/>
        <v>4.5</v>
      </c>
      <c r="E40" s="91">
        <f t="shared" si="1"/>
        <v>5.7600000000000007</v>
      </c>
      <c r="F40" s="91">
        <f t="shared" si="1"/>
        <v>41.85</v>
      </c>
    </row>
    <row r="41" spans="1:6" ht="15.75" customHeight="1" x14ac:dyDescent="0.25">
      <c r="B41" s="11" t="s">
        <v>254</v>
      </c>
      <c r="C41" s="91">
        <f t="shared" si="1"/>
        <v>1</v>
      </c>
      <c r="D41" s="91">
        <f t="shared" si="1"/>
        <v>2.2680000000000002</v>
      </c>
      <c r="E41" s="91">
        <f t="shared" si="1"/>
        <v>1.764</v>
      </c>
      <c r="F41" s="91">
        <f t="shared" si="1"/>
        <v>3.7710000000000004</v>
      </c>
    </row>
    <row r="42" spans="1:6" ht="15.75" customHeight="1" x14ac:dyDescent="0.25">
      <c r="B42" s="11" t="s">
        <v>255</v>
      </c>
      <c r="C42" s="91">
        <f t="shared" si="1"/>
        <v>1</v>
      </c>
      <c r="D42" s="91">
        <f t="shared" si="1"/>
        <v>2.2680000000000002</v>
      </c>
      <c r="E42" s="91">
        <f t="shared" si="1"/>
        <v>1.764</v>
      </c>
      <c r="F42" s="91">
        <f t="shared" si="1"/>
        <v>3.7710000000000004</v>
      </c>
    </row>
    <row r="43" spans="1:6" ht="15.75" customHeight="1" x14ac:dyDescent="0.3">
      <c r="A43" s="4"/>
      <c r="B43" s="11"/>
      <c r="C43" s="76"/>
      <c r="D43" s="64"/>
      <c r="E43" s="64"/>
      <c r="F43" s="64"/>
    </row>
    <row r="44" spans="1:6" ht="15.75" customHeight="1" x14ac:dyDescent="0.3">
      <c r="A44" s="4" t="s">
        <v>256</v>
      </c>
      <c r="B44" s="14"/>
      <c r="C44" s="77"/>
      <c r="D44" s="78"/>
      <c r="E44" s="78"/>
      <c r="F44" s="78"/>
    </row>
    <row r="45" spans="1:6" ht="15.75" customHeight="1" x14ac:dyDescent="0.25">
      <c r="B45" s="5" t="s">
        <v>68</v>
      </c>
      <c r="C45" s="91">
        <f t="shared" ref="C45:F52" si="2">IF(C18=1,1,C18*0.9)</f>
        <v>1</v>
      </c>
      <c r="D45" s="91">
        <f t="shared" si="2"/>
        <v>1</v>
      </c>
      <c r="E45" s="91">
        <f t="shared" si="2"/>
        <v>1</v>
      </c>
      <c r="F45" s="91">
        <f t="shared" si="2"/>
        <v>1</v>
      </c>
    </row>
    <row r="46" spans="1:6" ht="15.75" customHeight="1" x14ac:dyDescent="0.25">
      <c r="B46" s="5" t="s">
        <v>69</v>
      </c>
      <c r="C46" s="91">
        <f t="shared" si="2"/>
        <v>1</v>
      </c>
      <c r="D46" s="91">
        <f t="shared" si="2"/>
        <v>1.863</v>
      </c>
      <c r="E46" s="91">
        <f t="shared" si="2"/>
        <v>3.0510000000000002</v>
      </c>
      <c r="F46" s="91">
        <f t="shared" si="2"/>
        <v>10.701000000000001</v>
      </c>
    </row>
    <row r="47" spans="1:6" ht="15.75" customHeight="1" x14ac:dyDescent="0.25">
      <c r="B47" s="5" t="s">
        <v>70</v>
      </c>
      <c r="C47" s="91">
        <f t="shared" si="2"/>
        <v>1</v>
      </c>
      <c r="D47" s="91">
        <f t="shared" si="2"/>
        <v>1.863</v>
      </c>
      <c r="E47" s="91">
        <f t="shared" si="2"/>
        <v>3.0510000000000002</v>
      </c>
      <c r="F47" s="91">
        <f t="shared" si="2"/>
        <v>10.701000000000001</v>
      </c>
    </row>
    <row r="48" spans="1:6" ht="15.75" customHeight="1" x14ac:dyDescent="0.25">
      <c r="B48" s="5" t="s">
        <v>71</v>
      </c>
      <c r="C48" s="91">
        <f t="shared" si="2"/>
        <v>1</v>
      </c>
      <c r="D48" s="91">
        <f t="shared" si="2"/>
        <v>1.863</v>
      </c>
      <c r="E48" s="91">
        <f t="shared" si="2"/>
        <v>3.0510000000000002</v>
      </c>
      <c r="F48" s="91">
        <f t="shared" si="2"/>
        <v>10.701000000000001</v>
      </c>
    </row>
    <row r="49" spans="1:6" ht="15.75" customHeight="1" x14ac:dyDescent="0.25">
      <c r="B49" s="5" t="s">
        <v>72</v>
      </c>
      <c r="C49" s="91">
        <f t="shared" si="2"/>
        <v>1</v>
      </c>
      <c r="D49" s="91">
        <f t="shared" si="2"/>
        <v>1</v>
      </c>
      <c r="E49" s="91">
        <f t="shared" si="2"/>
        <v>899.99099999999999</v>
      </c>
      <c r="F49" s="91">
        <f t="shared" si="2"/>
        <v>899.99099999999999</v>
      </c>
    </row>
    <row r="50" spans="1:6" ht="15.75" customHeight="1" x14ac:dyDescent="0.25">
      <c r="B50" s="5" t="s">
        <v>73</v>
      </c>
      <c r="C50" s="91">
        <f t="shared" si="2"/>
        <v>1</v>
      </c>
      <c r="D50" s="91">
        <f t="shared" si="2"/>
        <v>1</v>
      </c>
      <c r="E50" s="91">
        <f t="shared" si="2"/>
        <v>1</v>
      </c>
      <c r="F50" s="91">
        <f t="shared" si="2"/>
        <v>1</v>
      </c>
    </row>
    <row r="51" spans="1:6" ht="15.75" customHeight="1" x14ac:dyDescent="0.25">
      <c r="B51" s="5" t="s">
        <v>74</v>
      </c>
      <c r="C51" s="91">
        <f t="shared" si="2"/>
        <v>1</v>
      </c>
      <c r="D51" s="91">
        <f t="shared" si="2"/>
        <v>1</v>
      </c>
      <c r="E51" s="91">
        <f t="shared" si="2"/>
        <v>1</v>
      </c>
      <c r="F51" s="91">
        <f t="shared" si="2"/>
        <v>1</v>
      </c>
    </row>
    <row r="52" spans="1:6" ht="15.75" customHeight="1" x14ac:dyDescent="0.25">
      <c r="B52" s="5" t="s">
        <v>75</v>
      </c>
      <c r="C52" s="91">
        <f t="shared" si="2"/>
        <v>1</v>
      </c>
      <c r="D52" s="91">
        <f t="shared" si="2"/>
        <v>1</v>
      </c>
      <c r="E52" s="91">
        <f t="shared" si="2"/>
        <v>1</v>
      </c>
      <c r="F52" s="91">
        <f t="shared" si="2"/>
        <v>1</v>
      </c>
    </row>
    <row r="54" spans="1:6" ht="15.75" customHeight="1" x14ac:dyDescent="0.3">
      <c r="A54" s="92" t="s">
        <v>239</v>
      </c>
      <c r="B54" s="93"/>
      <c r="C54" s="94"/>
      <c r="D54" s="95"/>
      <c r="E54" s="95"/>
      <c r="F54" s="95"/>
    </row>
    <row r="55" spans="1:6" s="68" customFormat="1" ht="18.75" customHeight="1" x14ac:dyDescent="0.3">
      <c r="A55" s="67" t="s">
        <v>243</v>
      </c>
    </row>
    <row r="56" spans="1:6" ht="15.75" customHeight="1" x14ac:dyDescent="0.3">
      <c r="B56" s="69"/>
      <c r="C56" s="26" t="s">
        <v>43</v>
      </c>
      <c r="D56" s="70" t="s">
        <v>42</v>
      </c>
      <c r="E56" s="70" t="s">
        <v>41</v>
      </c>
      <c r="F56" s="70" t="s">
        <v>40</v>
      </c>
    </row>
    <row r="57" spans="1:6" ht="15.75" customHeight="1" x14ac:dyDescent="0.3">
      <c r="A57" s="4" t="s">
        <v>257</v>
      </c>
      <c r="B57" s="14"/>
      <c r="C57" s="71"/>
      <c r="D57" s="72"/>
      <c r="E57" s="72"/>
      <c r="F57" s="72"/>
    </row>
    <row r="58" spans="1:6" ht="15.75" customHeight="1" x14ac:dyDescent="0.25">
      <c r="B58" s="5" t="s">
        <v>26</v>
      </c>
      <c r="C58" s="91">
        <f t="shared" ref="C58:F61" si="3">IF(C4=1,1,C4*1.1)</f>
        <v>1</v>
      </c>
      <c r="D58" s="91">
        <f t="shared" si="3"/>
        <v>1</v>
      </c>
      <c r="E58" s="91">
        <f t="shared" si="3"/>
        <v>1</v>
      </c>
      <c r="F58" s="91">
        <f t="shared" si="3"/>
        <v>1</v>
      </c>
    </row>
    <row r="59" spans="1:6" ht="15.75" customHeight="1" x14ac:dyDescent="0.25">
      <c r="B59" s="5" t="s">
        <v>27</v>
      </c>
      <c r="C59" s="91">
        <f t="shared" si="3"/>
        <v>1</v>
      </c>
      <c r="D59" s="91">
        <f t="shared" si="3"/>
        <v>1.5509999999999999</v>
      </c>
      <c r="E59" s="91">
        <f t="shared" si="3"/>
        <v>1.639</v>
      </c>
      <c r="F59" s="91">
        <f t="shared" si="3"/>
        <v>3.3330000000000002</v>
      </c>
    </row>
    <row r="60" spans="1:6" ht="15.75" customHeight="1" x14ac:dyDescent="0.25">
      <c r="B60" s="5" t="s">
        <v>28</v>
      </c>
      <c r="C60" s="91">
        <f t="shared" si="3"/>
        <v>1</v>
      </c>
      <c r="D60" s="91">
        <f t="shared" si="3"/>
        <v>1.298</v>
      </c>
      <c r="E60" s="91">
        <f t="shared" si="3"/>
        <v>1.2100000000000002</v>
      </c>
      <c r="F60" s="91">
        <f t="shared" si="3"/>
        <v>1.9470000000000003</v>
      </c>
    </row>
    <row r="61" spans="1:6" ht="15.75" customHeight="1" x14ac:dyDescent="0.25">
      <c r="B61" s="5" t="s">
        <v>29</v>
      </c>
      <c r="C61" s="91">
        <f t="shared" si="3"/>
        <v>1</v>
      </c>
      <c r="D61" s="91">
        <f t="shared" si="3"/>
        <v>1</v>
      </c>
      <c r="E61" s="91">
        <f t="shared" si="3"/>
        <v>1</v>
      </c>
      <c r="F61" s="91">
        <f t="shared" si="3"/>
        <v>1</v>
      </c>
    </row>
    <row r="62" spans="1:6" ht="15.75" customHeight="1" x14ac:dyDescent="0.25">
      <c r="C62" s="73"/>
      <c r="D62" s="64"/>
      <c r="E62" s="64"/>
      <c r="F62" s="64"/>
    </row>
    <row r="63" spans="1:6" ht="15.75" customHeight="1" x14ac:dyDescent="0.3">
      <c r="A63" s="4" t="s">
        <v>258</v>
      </c>
      <c r="C63" s="91">
        <f>IF(C9=1,1,C9*1.1)</f>
        <v>1</v>
      </c>
      <c r="D63" s="91">
        <f>IF(D9=1,1,D9*1.1)</f>
        <v>1.6830000000000003</v>
      </c>
      <c r="E63" s="91">
        <f>IF(E9=1,1,E9*1.1)</f>
        <v>1.4520000000000002</v>
      </c>
      <c r="F63" s="91">
        <f>IF(F9=1,1,F9*1.1)</f>
        <v>1.6830000000000003</v>
      </c>
    </row>
    <row r="65" spans="1:6" ht="15.75" customHeight="1" x14ac:dyDescent="0.3">
      <c r="A65" s="67" t="s">
        <v>246</v>
      </c>
      <c r="B65" s="68"/>
      <c r="C65" s="74"/>
      <c r="D65" s="75"/>
      <c r="E65" s="75"/>
      <c r="F65" s="75"/>
    </row>
    <row r="66" spans="1:6" ht="15.75" customHeight="1" x14ac:dyDescent="0.3">
      <c r="A66" s="4" t="s">
        <v>259</v>
      </c>
      <c r="C66" s="73"/>
      <c r="D66" s="64"/>
      <c r="E66" s="64"/>
      <c r="F66" s="64"/>
    </row>
    <row r="67" spans="1:6" ht="15.75" customHeight="1" x14ac:dyDescent="0.25">
      <c r="B67" s="11" t="s">
        <v>260</v>
      </c>
      <c r="C67" s="91">
        <f t="shared" ref="C67:F69" si="4">IF(C13=1,1,C13*1.1)</f>
        <v>1</v>
      </c>
      <c r="D67" s="91">
        <f t="shared" si="4"/>
        <v>5.5</v>
      </c>
      <c r="E67" s="91">
        <f t="shared" si="4"/>
        <v>7.0400000000000009</v>
      </c>
      <c r="F67" s="91">
        <f t="shared" si="4"/>
        <v>51.150000000000006</v>
      </c>
    </row>
    <row r="68" spans="1:6" ht="15.75" customHeight="1" x14ac:dyDescent="0.25">
      <c r="B68" s="11" t="s">
        <v>261</v>
      </c>
      <c r="C68" s="91">
        <f t="shared" si="4"/>
        <v>1</v>
      </c>
      <c r="D68" s="91">
        <f t="shared" si="4"/>
        <v>2.7720000000000002</v>
      </c>
      <c r="E68" s="91">
        <f t="shared" si="4"/>
        <v>2.1560000000000001</v>
      </c>
      <c r="F68" s="91">
        <f t="shared" si="4"/>
        <v>4.6090000000000009</v>
      </c>
    </row>
    <row r="69" spans="1:6" ht="15.75" customHeight="1" x14ac:dyDescent="0.25">
      <c r="B69" s="11" t="s">
        <v>262</v>
      </c>
      <c r="C69" s="91">
        <f t="shared" si="4"/>
        <v>1</v>
      </c>
      <c r="D69" s="91">
        <f t="shared" si="4"/>
        <v>2.7720000000000002</v>
      </c>
      <c r="E69" s="91">
        <f t="shared" si="4"/>
        <v>2.1560000000000001</v>
      </c>
      <c r="F69" s="91">
        <f t="shared" si="4"/>
        <v>4.6090000000000009</v>
      </c>
    </row>
    <row r="70" spans="1:6" ht="15.75" customHeight="1" x14ac:dyDescent="0.3">
      <c r="A70" s="4"/>
      <c r="B70" s="11"/>
      <c r="C70" s="76"/>
      <c r="D70" s="64"/>
      <c r="E70" s="64"/>
      <c r="F70" s="64"/>
    </row>
    <row r="71" spans="1:6" ht="15.75" customHeight="1" x14ac:dyDescent="0.3">
      <c r="A71" s="4" t="s">
        <v>263</v>
      </c>
      <c r="B71" s="14"/>
      <c r="C71" s="77"/>
      <c r="D71" s="78"/>
      <c r="E71" s="78"/>
      <c r="F71" s="78"/>
    </row>
    <row r="72" spans="1:6" ht="15.75" customHeight="1" x14ac:dyDescent="0.25">
      <c r="B72" s="5" t="s">
        <v>68</v>
      </c>
      <c r="C72" s="91">
        <f t="shared" ref="C72:F79" si="5">IF(C18=1,1,C18*1.1)</f>
        <v>1</v>
      </c>
      <c r="D72" s="91">
        <f t="shared" si="5"/>
        <v>1</v>
      </c>
      <c r="E72" s="91">
        <f t="shared" si="5"/>
        <v>1</v>
      </c>
      <c r="F72" s="91">
        <f t="shared" si="5"/>
        <v>1</v>
      </c>
    </row>
    <row r="73" spans="1:6" ht="15.75" customHeight="1" x14ac:dyDescent="0.25">
      <c r="B73" s="5" t="s">
        <v>69</v>
      </c>
      <c r="C73" s="91">
        <f t="shared" si="5"/>
        <v>1</v>
      </c>
      <c r="D73" s="91">
        <f t="shared" si="5"/>
        <v>2.2770000000000001</v>
      </c>
      <c r="E73" s="91">
        <f t="shared" si="5"/>
        <v>3.7290000000000005</v>
      </c>
      <c r="F73" s="91">
        <f t="shared" si="5"/>
        <v>13.079000000000002</v>
      </c>
    </row>
    <row r="74" spans="1:6" ht="15.75" customHeight="1" x14ac:dyDescent="0.25">
      <c r="B74" s="5" t="s">
        <v>70</v>
      </c>
      <c r="C74" s="91">
        <f t="shared" si="5"/>
        <v>1</v>
      </c>
      <c r="D74" s="91">
        <f t="shared" si="5"/>
        <v>2.2770000000000001</v>
      </c>
      <c r="E74" s="91">
        <f t="shared" si="5"/>
        <v>3.7290000000000005</v>
      </c>
      <c r="F74" s="91">
        <f t="shared" si="5"/>
        <v>13.079000000000002</v>
      </c>
    </row>
    <row r="75" spans="1:6" ht="15.75" customHeight="1" x14ac:dyDescent="0.25">
      <c r="B75" s="5" t="s">
        <v>71</v>
      </c>
      <c r="C75" s="91">
        <f t="shared" si="5"/>
        <v>1</v>
      </c>
      <c r="D75" s="91">
        <f t="shared" si="5"/>
        <v>2.2770000000000001</v>
      </c>
      <c r="E75" s="91">
        <f t="shared" si="5"/>
        <v>3.7290000000000005</v>
      </c>
      <c r="F75" s="91">
        <f t="shared" si="5"/>
        <v>13.079000000000002</v>
      </c>
    </row>
    <row r="76" spans="1:6" ht="15.75" customHeight="1" x14ac:dyDescent="0.25">
      <c r="B76" s="5" t="s">
        <v>72</v>
      </c>
      <c r="C76" s="91">
        <f t="shared" si="5"/>
        <v>1</v>
      </c>
      <c r="D76" s="91">
        <f t="shared" si="5"/>
        <v>1</v>
      </c>
      <c r="E76" s="91">
        <f t="shared" si="5"/>
        <v>1099.989</v>
      </c>
      <c r="F76" s="91">
        <f t="shared" si="5"/>
        <v>1099.989</v>
      </c>
    </row>
    <row r="77" spans="1:6" ht="15.75" customHeight="1" x14ac:dyDescent="0.25">
      <c r="B77" s="5" t="s">
        <v>73</v>
      </c>
      <c r="C77" s="91">
        <f t="shared" si="5"/>
        <v>1</v>
      </c>
      <c r="D77" s="91">
        <f t="shared" si="5"/>
        <v>1</v>
      </c>
      <c r="E77" s="91">
        <f t="shared" si="5"/>
        <v>1</v>
      </c>
      <c r="F77" s="91">
        <f t="shared" si="5"/>
        <v>1</v>
      </c>
    </row>
    <row r="78" spans="1:6" ht="15.75" customHeight="1" x14ac:dyDescent="0.25">
      <c r="B78" s="5" t="s">
        <v>74</v>
      </c>
      <c r="C78" s="91">
        <f t="shared" si="5"/>
        <v>1</v>
      </c>
      <c r="D78" s="91">
        <f t="shared" si="5"/>
        <v>1</v>
      </c>
      <c r="E78" s="91">
        <f t="shared" si="5"/>
        <v>1</v>
      </c>
      <c r="F78" s="91">
        <f t="shared" si="5"/>
        <v>1</v>
      </c>
    </row>
    <row r="79" spans="1:6" ht="15.75" customHeight="1" x14ac:dyDescent="0.25">
      <c r="B79" s="5" t="s">
        <v>75</v>
      </c>
      <c r="C79" s="91">
        <f t="shared" si="5"/>
        <v>1</v>
      </c>
      <c r="D79" s="91">
        <f t="shared" si="5"/>
        <v>1</v>
      </c>
      <c r="E79" s="91">
        <f t="shared" si="5"/>
        <v>1</v>
      </c>
      <c r="F79" s="91">
        <f t="shared" si="5"/>
        <v>1</v>
      </c>
    </row>
  </sheetData>
  <sheetProtection algorithmName="SHA-512" hashValue="OEa5xq8Dht0iRzVx1fQ1EOJdDm09uSIzQRujIfp/VJ8GNGNECqE8Uut2U6j1omy5Y9ajcKxMUHwzsTWrCb+nAw==" saltValue="Poj67khbkyqhF7WVYd6Cs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48" zoomScaleNormal="100" workbookViewId="0">
      <selection activeCell="D12" sqref="D12"/>
    </sheetView>
  </sheetViews>
  <sheetFormatPr defaultColWidth="12.81640625" defaultRowHeight="12.5" x14ac:dyDescent="0.25"/>
  <cols>
    <col min="1" max="1" width="27.1796875" style="8" customWidth="1"/>
    <col min="2" max="2" width="26.90625" style="8" customWidth="1"/>
    <col min="3" max="3" width="18.36328125" style="8" customWidth="1"/>
    <col min="4" max="8" width="14.81640625" style="8" customWidth="1"/>
    <col min="9" max="12" width="15.36328125" style="8" bestFit="1" customWidth="1"/>
    <col min="13" max="16" width="16.90625" style="8" bestFit="1" customWidth="1"/>
    <col min="17" max="17" width="12.81640625" style="8" customWidth="1"/>
    <col min="18" max="16384" width="12.81640625" style="8"/>
  </cols>
  <sheetData>
    <row r="1" spans="1:16" s="68" customFormat="1" ht="13" customHeight="1" x14ac:dyDescent="0.3">
      <c r="A1" s="67" t="s">
        <v>264</v>
      </c>
    </row>
    <row r="2" spans="1:16" ht="13" customHeight="1" x14ac:dyDescent="0.3">
      <c r="A2" s="39" t="s">
        <v>225</v>
      </c>
      <c r="B2" s="1" t="s">
        <v>265</v>
      </c>
      <c r="C2" s="1" t="s">
        <v>266</v>
      </c>
      <c r="D2" s="70" t="s">
        <v>67</v>
      </c>
      <c r="E2" s="70" t="s">
        <v>77</v>
      </c>
      <c r="F2" s="70" t="s">
        <v>78</v>
      </c>
      <c r="G2" s="70" t="s">
        <v>79</v>
      </c>
      <c r="H2" s="70" t="s">
        <v>80</v>
      </c>
      <c r="I2" s="79"/>
      <c r="J2" s="79"/>
      <c r="K2" s="79"/>
      <c r="L2" s="79"/>
      <c r="M2" s="79"/>
      <c r="N2" s="79"/>
      <c r="O2" s="79"/>
      <c r="P2" s="79"/>
    </row>
    <row r="3" spans="1:16" ht="13" customHeight="1" x14ac:dyDescent="0.3">
      <c r="A3" s="4"/>
      <c r="B3" s="8" t="s">
        <v>81</v>
      </c>
      <c r="C3" s="3" t="s">
        <v>267</v>
      </c>
      <c r="D3" s="89">
        <v>1</v>
      </c>
      <c r="E3" s="89">
        <v>1</v>
      </c>
      <c r="F3" s="89">
        <v>1</v>
      </c>
      <c r="G3" s="89">
        <v>1</v>
      </c>
      <c r="H3" s="89">
        <v>1</v>
      </c>
      <c r="I3" s="39"/>
      <c r="J3" s="39"/>
      <c r="K3" s="39"/>
      <c r="L3" s="39"/>
      <c r="M3" s="39"/>
      <c r="N3" s="39"/>
      <c r="O3" s="39"/>
      <c r="P3" s="39"/>
    </row>
    <row r="4" spans="1:16" x14ac:dyDescent="0.25">
      <c r="C4" s="3" t="s">
        <v>268</v>
      </c>
      <c r="D4" s="90">
        <v>1</v>
      </c>
      <c r="E4" s="90">
        <v>1.67</v>
      </c>
      <c r="F4" s="90">
        <v>1.67</v>
      </c>
      <c r="G4" s="90">
        <v>1.67</v>
      </c>
      <c r="H4" s="90">
        <v>1.67</v>
      </c>
      <c r="I4" s="39"/>
      <c r="J4" s="39"/>
      <c r="K4" s="39"/>
      <c r="L4" s="39"/>
      <c r="M4" s="39"/>
      <c r="N4" s="39"/>
      <c r="O4" s="39"/>
      <c r="P4" s="39"/>
    </row>
    <row r="5" spans="1:16" x14ac:dyDescent="0.25">
      <c r="C5" s="3" t="s">
        <v>269</v>
      </c>
      <c r="D5" s="90">
        <v>1</v>
      </c>
      <c r="E5" s="90">
        <v>2.38</v>
      </c>
      <c r="F5" s="90">
        <v>2.38</v>
      </c>
      <c r="G5" s="90">
        <v>2.38</v>
      </c>
      <c r="H5" s="90">
        <v>2.38</v>
      </c>
      <c r="I5" s="39"/>
      <c r="J5" s="39"/>
      <c r="K5" s="39"/>
      <c r="L5" s="39"/>
      <c r="M5" s="39"/>
      <c r="N5" s="39"/>
      <c r="O5" s="39"/>
      <c r="P5" s="39"/>
    </row>
    <row r="6" spans="1:16" x14ac:dyDescent="0.25">
      <c r="C6" s="3" t="s">
        <v>270</v>
      </c>
      <c r="D6" s="90">
        <v>1</v>
      </c>
      <c r="E6" s="90">
        <v>6.33</v>
      </c>
      <c r="F6" s="90">
        <v>6.33</v>
      </c>
      <c r="G6" s="90">
        <v>6.33</v>
      </c>
      <c r="H6" s="90">
        <v>6.33</v>
      </c>
      <c r="I6" s="39"/>
      <c r="J6" s="39"/>
      <c r="K6" s="39"/>
      <c r="L6" s="39"/>
      <c r="M6" s="39"/>
      <c r="N6" s="39"/>
      <c r="O6" s="39"/>
      <c r="P6" s="39"/>
    </row>
    <row r="7" spans="1:16" x14ac:dyDescent="0.25">
      <c r="B7" s="8" t="s">
        <v>82</v>
      </c>
      <c r="C7" s="3" t="s">
        <v>267</v>
      </c>
      <c r="D7" s="89">
        <v>1</v>
      </c>
      <c r="E7" s="89">
        <v>1</v>
      </c>
      <c r="F7" s="89">
        <v>1</v>
      </c>
      <c r="G7" s="89">
        <v>1</v>
      </c>
      <c r="H7" s="89">
        <v>1</v>
      </c>
      <c r="I7" s="39"/>
      <c r="J7" s="39"/>
      <c r="K7" s="39"/>
      <c r="L7" s="39"/>
      <c r="M7" s="39"/>
      <c r="N7" s="39"/>
      <c r="O7" s="39"/>
      <c r="P7" s="39"/>
    </row>
    <row r="8" spans="1:16" x14ac:dyDescent="0.25">
      <c r="C8" s="3" t="s">
        <v>268</v>
      </c>
      <c r="D8" s="90">
        <v>1</v>
      </c>
      <c r="E8" s="90">
        <v>1.55</v>
      </c>
      <c r="F8" s="90">
        <v>1.55</v>
      </c>
      <c r="G8" s="90">
        <v>1.55</v>
      </c>
      <c r="H8" s="90">
        <v>1.55</v>
      </c>
      <c r="I8" s="39"/>
      <c r="J8" s="39"/>
      <c r="K8" s="39"/>
      <c r="L8" s="39"/>
      <c r="M8" s="39"/>
      <c r="N8" s="39"/>
      <c r="O8" s="39"/>
      <c r="P8" s="39"/>
    </row>
    <row r="9" spans="1:16" x14ac:dyDescent="0.25">
      <c r="C9" s="3" t="s">
        <v>269</v>
      </c>
      <c r="D9" s="90">
        <v>1</v>
      </c>
      <c r="E9" s="90">
        <v>2.1800000000000002</v>
      </c>
      <c r="F9" s="90">
        <v>2.1800000000000002</v>
      </c>
      <c r="G9" s="90">
        <v>2.1800000000000002</v>
      </c>
      <c r="H9" s="90">
        <v>2.1800000000000002</v>
      </c>
      <c r="I9" s="39"/>
      <c r="J9" s="39"/>
      <c r="K9" s="39"/>
      <c r="L9" s="39"/>
      <c r="M9" s="39"/>
      <c r="N9" s="39"/>
      <c r="O9" s="39"/>
      <c r="P9" s="39"/>
    </row>
    <row r="10" spans="1:16" x14ac:dyDescent="0.25">
      <c r="C10" s="3" t="s">
        <v>270</v>
      </c>
      <c r="D10" s="90">
        <v>1</v>
      </c>
      <c r="E10" s="90">
        <v>6.39</v>
      </c>
      <c r="F10" s="90">
        <v>6.39</v>
      </c>
      <c r="G10" s="90">
        <v>6.39</v>
      </c>
      <c r="H10" s="90">
        <v>6.39</v>
      </c>
      <c r="I10" s="39"/>
      <c r="J10" s="39"/>
      <c r="K10" s="39"/>
      <c r="L10" s="39"/>
      <c r="M10" s="39"/>
      <c r="N10" s="39"/>
      <c r="O10" s="39"/>
      <c r="P10" s="39"/>
    </row>
    <row r="11" spans="1:16" x14ac:dyDescent="0.25">
      <c r="B11" s="8" t="s">
        <v>84</v>
      </c>
      <c r="C11" s="3" t="s">
        <v>267</v>
      </c>
      <c r="D11" s="89">
        <v>1</v>
      </c>
      <c r="E11" s="89">
        <v>1</v>
      </c>
      <c r="F11" s="89">
        <v>1</v>
      </c>
      <c r="G11" s="89">
        <v>1</v>
      </c>
      <c r="H11" s="89">
        <v>1</v>
      </c>
      <c r="I11" s="39"/>
      <c r="J11" s="39"/>
      <c r="K11" s="39"/>
      <c r="L11" s="39"/>
      <c r="M11" s="39"/>
      <c r="N11" s="39"/>
      <c r="O11" s="39"/>
      <c r="P11" s="39"/>
    </row>
    <row r="12" spans="1:16" x14ac:dyDescent="0.25">
      <c r="C12" s="3" t="s">
        <v>268</v>
      </c>
      <c r="D12" s="90">
        <v>1</v>
      </c>
      <c r="E12" s="90">
        <v>1</v>
      </c>
      <c r="F12" s="90">
        <v>1</v>
      </c>
      <c r="G12" s="90">
        <v>1</v>
      </c>
      <c r="H12" s="90">
        <v>1</v>
      </c>
      <c r="I12" s="39"/>
      <c r="J12" s="39"/>
      <c r="K12" s="39"/>
      <c r="L12" s="39"/>
      <c r="M12" s="39"/>
      <c r="N12" s="39"/>
      <c r="O12" s="39"/>
      <c r="P12" s="39"/>
    </row>
    <row r="13" spans="1:16" x14ac:dyDescent="0.25">
      <c r="C13" s="3" t="s">
        <v>269</v>
      </c>
      <c r="D13" s="90">
        <v>1</v>
      </c>
      <c r="E13" s="90">
        <v>2.79</v>
      </c>
      <c r="F13" s="90">
        <v>2.79</v>
      </c>
      <c r="G13" s="90">
        <v>2.79</v>
      </c>
      <c r="H13" s="90">
        <v>2.79</v>
      </c>
      <c r="I13" s="39"/>
      <c r="J13" s="39"/>
      <c r="K13" s="39"/>
      <c r="L13" s="39"/>
      <c r="M13" s="39"/>
      <c r="N13" s="39"/>
      <c r="O13" s="39"/>
      <c r="P13" s="39"/>
    </row>
    <row r="14" spans="1:16" x14ac:dyDescent="0.25">
      <c r="C14" s="3" t="s">
        <v>270</v>
      </c>
      <c r="D14" s="90">
        <v>1</v>
      </c>
      <c r="E14" s="90">
        <v>6.01</v>
      </c>
      <c r="F14" s="90">
        <v>6.01</v>
      </c>
      <c r="G14" s="90">
        <v>6.01</v>
      </c>
      <c r="H14" s="90">
        <v>6.01</v>
      </c>
      <c r="I14" s="39"/>
      <c r="J14" s="39"/>
      <c r="K14" s="39"/>
      <c r="L14" s="39"/>
      <c r="M14" s="39"/>
      <c r="N14" s="39"/>
      <c r="O14" s="39"/>
      <c r="P14" s="39"/>
    </row>
    <row r="15" spans="1:16" x14ac:dyDescent="0.25">
      <c r="B15" s="8" t="s">
        <v>85</v>
      </c>
      <c r="C15" s="3" t="s">
        <v>267</v>
      </c>
      <c r="D15" s="89">
        <v>1</v>
      </c>
      <c r="E15" s="89">
        <v>1</v>
      </c>
      <c r="F15" s="89">
        <v>1</v>
      </c>
      <c r="G15" s="89">
        <v>1</v>
      </c>
      <c r="H15" s="89">
        <v>1</v>
      </c>
      <c r="I15" s="39"/>
      <c r="J15" s="39"/>
      <c r="K15" s="39"/>
      <c r="L15" s="39"/>
      <c r="M15" s="39"/>
      <c r="N15" s="39"/>
      <c r="O15" s="39"/>
      <c r="P15" s="39"/>
    </row>
    <row r="16" spans="1:16" x14ac:dyDescent="0.25">
      <c r="C16" s="3" t="s">
        <v>268</v>
      </c>
      <c r="D16" s="90">
        <v>1</v>
      </c>
      <c r="E16" s="90">
        <v>1</v>
      </c>
      <c r="F16" s="90">
        <v>1</v>
      </c>
      <c r="G16" s="90">
        <v>1</v>
      </c>
      <c r="H16" s="90">
        <v>1</v>
      </c>
      <c r="I16" s="39"/>
      <c r="J16" s="39"/>
      <c r="K16" s="39"/>
      <c r="L16" s="39"/>
      <c r="M16" s="39"/>
      <c r="N16" s="39"/>
      <c r="O16" s="39"/>
      <c r="P16" s="39"/>
    </row>
    <row r="17" spans="1:16" x14ac:dyDescent="0.25">
      <c r="C17" s="3" t="s">
        <v>269</v>
      </c>
      <c r="D17" s="90">
        <v>1</v>
      </c>
      <c r="E17" s="90">
        <v>1</v>
      </c>
      <c r="F17" s="90">
        <v>1</v>
      </c>
      <c r="G17" s="90">
        <v>1</v>
      </c>
      <c r="H17" s="90">
        <v>1</v>
      </c>
      <c r="I17" s="39"/>
      <c r="J17" s="39"/>
      <c r="K17" s="39"/>
      <c r="L17" s="39"/>
      <c r="M17" s="39"/>
      <c r="N17" s="39"/>
      <c r="O17" s="39"/>
      <c r="P17" s="39"/>
    </row>
    <row r="18" spans="1:16" ht="14" customHeight="1" x14ac:dyDescent="0.25">
      <c r="C18" s="3" t="s">
        <v>270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39"/>
      <c r="J18" s="39"/>
      <c r="K18" s="39"/>
      <c r="L18" s="39"/>
      <c r="M18" s="39"/>
      <c r="N18" s="39"/>
      <c r="O18" s="39"/>
      <c r="P18" s="39"/>
    </row>
    <row r="19" spans="1:16" x14ac:dyDescent="0.25">
      <c r="B19" s="8" t="s">
        <v>83</v>
      </c>
      <c r="C19" s="3" t="s">
        <v>267</v>
      </c>
      <c r="D19" s="89">
        <v>1</v>
      </c>
      <c r="E19" s="89">
        <v>1</v>
      </c>
      <c r="F19" s="89">
        <v>1</v>
      </c>
      <c r="G19" s="89">
        <v>1</v>
      </c>
      <c r="H19" s="89">
        <v>1</v>
      </c>
      <c r="I19" s="39"/>
      <c r="J19" s="39"/>
      <c r="K19" s="39"/>
      <c r="L19" s="39"/>
      <c r="M19" s="39"/>
      <c r="N19" s="39"/>
      <c r="O19" s="39"/>
      <c r="P19" s="39"/>
    </row>
    <row r="20" spans="1:16" x14ac:dyDescent="0.25">
      <c r="C20" s="3" t="s">
        <v>268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39"/>
      <c r="J20" s="39"/>
      <c r="K20" s="39"/>
      <c r="L20" s="39"/>
      <c r="M20" s="39"/>
      <c r="N20" s="39"/>
      <c r="O20" s="39"/>
      <c r="P20" s="39"/>
    </row>
    <row r="21" spans="1:16" x14ac:dyDescent="0.25">
      <c r="C21" s="3" t="s">
        <v>269</v>
      </c>
      <c r="D21" s="90">
        <v>1</v>
      </c>
      <c r="E21" s="90">
        <v>1.86</v>
      </c>
      <c r="F21" s="90">
        <v>1.86</v>
      </c>
      <c r="G21" s="90">
        <v>1.86</v>
      </c>
      <c r="H21" s="90">
        <v>1.86</v>
      </c>
      <c r="I21" s="39"/>
      <c r="J21" s="39"/>
      <c r="K21" s="39"/>
      <c r="L21" s="39"/>
      <c r="M21" s="39"/>
      <c r="N21" s="39"/>
      <c r="O21" s="39"/>
      <c r="P21" s="39"/>
    </row>
    <row r="22" spans="1:16" x14ac:dyDescent="0.25">
      <c r="C22" s="3" t="s">
        <v>270</v>
      </c>
      <c r="D22" s="90">
        <v>1</v>
      </c>
      <c r="E22" s="90">
        <v>3.01</v>
      </c>
      <c r="F22" s="90">
        <v>3.01</v>
      </c>
      <c r="G22" s="90">
        <v>3.01</v>
      </c>
      <c r="H22" s="90">
        <v>3.01</v>
      </c>
      <c r="I22" s="39"/>
      <c r="J22" s="39"/>
      <c r="K22" s="39"/>
      <c r="L22" s="39"/>
      <c r="M22" s="39"/>
      <c r="N22" s="39"/>
      <c r="O22" s="39"/>
      <c r="P22" s="39"/>
    </row>
    <row r="23" spans="1:16" x14ac:dyDescent="0.25">
      <c r="B23" s="8" t="s">
        <v>89</v>
      </c>
      <c r="C23" s="3" t="s">
        <v>267</v>
      </c>
      <c r="D23" s="89">
        <v>1</v>
      </c>
      <c r="E23" s="89">
        <v>1</v>
      </c>
      <c r="F23" s="89">
        <v>1</v>
      </c>
      <c r="G23" s="89">
        <v>1</v>
      </c>
      <c r="H23" s="89">
        <v>1</v>
      </c>
      <c r="I23" s="39"/>
      <c r="J23" s="39"/>
      <c r="K23" s="39"/>
      <c r="L23" s="39"/>
      <c r="M23" s="39"/>
      <c r="N23" s="39"/>
      <c r="O23" s="39"/>
      <c r="P23" s="39"/>
    </row>
    <row r="24" spans="1:16" x14ac:dyDescent="0.25">
      <c r="C24" s="3" t="s">
        <v>268</v>
      </c>
      <c r="D24" s="90">
        <v>1</v>
      </c>
      <c r="E24" s="90">
        <v>1</v>
      </c>
      <c r="F24" s="90">
        <v>1</v>
      </c>
      <c r="G24" s="90">
        <v>1</v>
      </c>
      <c r="H24" s="90">
        <v>1</v>
      </c>
      <c r="I24" s="39"/>
      <c r="J24" s="39"/>
      <c r="K24" s="39"/>
      <c r="L24" s="39"/>
      <c r="M24" s="39"/>
      <c r="N24" s="39"/>
      <c r="O24" s="39"/>
      <c r="P24" s="39"/>
    </row>
    <row r="25" spans="1:16" x14ac:dyDescent="0.25">
      <c r="C25" s="3" t="s">
        <v>269</v>
      </c>
      <c r="D25" s="90">
        <v>1</v>
      </c>
      <c r="E25" s="90">
        <v>1.86</v>
      </c>
      <c r="F25" s="90">
        <v>1.86</v>
      </c>
      <c r="G25" s="90">
        <v>1.86</v>
      </c>
      <c r="H25" s="90">
        <v>1.86</v>
      </c>
      <c r="I25" s="39"/>
      <c r="J25" s="39"/>
      <c r="K25" s="39"/>
      <c r="L25" s="39"/>
      <c r="M25" s="39"/>
      <c r="N25" s="39"/>
      <c r="O25" s="39"/>
      <c r="P25" s="39"/>
    </row>
    <row r="26" spans="1:16" x14ac:dyDescent="0.25">
      <c r="C26" s="3" t="s">
        <v>270</v>
      </c>
      <c r="D26" s="90">
        <v>1</v>
      </c>
      <c r="E26" s="90">
        <v>3.01</v>
      </c>
      <c r="F26" s="90">
        <v>3.01</v>
      </c>
      <c r="G26" s="90">
        <v>3.01</v>
      </c>
      <c r="H26" s="90">
        <v>3.01</v>
      </c>
      <c r="I26" s="39"/>
      <c r="J26" s="39"/>
      <c r="K26" s="39"/>
      <c r="L26" s="39"/>
      <c r="M26" s="39"/>
      <c r="N26" s="39"/>
      <c r="O26" s="39"/>
      <c r="P26" s="39"/>
    </row>
    <row r="28" spans="1:16" s="68" customFormat="1" ht="13" customHeight="1" x14ac:dyDescent="0.3">
      <c r="A28" s="67" t="s">
        <v>271</v>
      </c>
    </row>
    <row r="29" spans="1:16" ht="13" customHeight="1" x14ac:dyDescent="0.3">
      <c r="A29" s="39" t="s">
        <v>272</v>
      </c>
      <c r="B29" s="4" t="s">
        <v>265</v>
      </c>
      <c r="C29" s="4" t="s">
        <v>273</v>
      </c>
      <c r="D29" s="70" t="s">
        <v>67</v>
      </c>
      <c r="E29" s="70" t="s">
        <v>77</v>
      </c>
      <c r="F29" s="70" t="s">
        <v>78</v>
      </c>
      <c r="G29" s="70" t="s">
        <v>79</v>
      </c>
      <c r="H29" s="70" t="s">
        <v>80</v>
      </c>
      <c r="I29" s="79"/>
      <c r="J29" s="79"/>
      <c r="K29" s="79"/>
      <c r="L29" s="79"/>
      <c r="M29" s="79"/>
      <c r="N29" s="79"/>
      <c r="O29" s="79"/>
      <c r="P29" s="79"/>
    </row>
    <row r="30" spans="1:16" ht="13" customHeight="1" x14ac:dyDescent="0.3">
      <c r="A30" s="4"/>
      <c r="B30" s="8" t="s">
        <v>81</v>
      </c>
      <c r="C30" s="3" t="s">
        <v>267</v>
      </c>
      <c r="D30" s="89">
        <v>1</v>
      </c>
      <c r="E30" s="89">
        <v>1</v>
      </c>
      <c r="F30" s="89">
        <v>1</v>
      </c>
      <c r="G30" s="89">
        <v>1</v>
      </c>
      <c r="H30" s="89">
        <v>1</v>
      </c>
      <c r="I30" s="80"/>
      <c r="J30" s="39"/>
      <c r="K30" s="39"/>
      <c r="L30" s="39"/>
      <c r="M30" s="39"/>
      <c r="N30" s="39"/>
      <c r="O30" s="39"/>
      <c r="P30" s="39"/>
    </row>
    <row r="31" spans="1:16" x14ac:dyDescent="0.25">
      <c r="C31" s="3" t="s">
        <v>268</v>
      </c>
      <c r="D31" s="90">
        <v>1</v>
      </c>
      <c r="E31" s="90">
        <v>1.6</v>
      </c>
      <c r="F31" s="90">
        <v>1.6</v>
      </c>
      <c r="G31" s="90">
        <v>1.6</v>
      </c>
      <c r="H31" s="90">
        <v>1.6</v>
      </c>
      <c r="I31" s="39"/>
      <c r="J31" s="39"/>
      <c r="K31" s="39"/>
      <c r="L31" s="39"/>
      <c r="M31" s="39"/>
      <c r="N31" s="39"/>
      <c r="O31" s="39"/>
      <c r="P31" s="39"/>
    </row>
    <row r="32" spans="1:16" x14ac:dyDescent="0.25">
      <c r="C32" s="3" t="s">
        <v>204</v>
      </c>
      <c r="D32" s="90">
        <v>1</v>
      </c>
      <c r="E32" s="90">
        <v>3.41</v>
      </c>
      <c r="F32" s="90">
        <v>3.41</v>
      </c>
      <c r="G32" s="90">
        <v>3.41</v>
      </c>
      <c r="H32" s="90">
        <v>3.41</v>
      </c>
      <c r="I32" s="39"/>
      <c r="J32" s="39"/>
      <c r="K32" s="39"/>
      <c r="L32" s="39"/>
      <c r="M32" s="39"/>
      <c r="N32" s="39"/>
      <c r="O32" s="39"/>
      <c r="P32" s="39"/>
    </row>
    <row r="33" spans="2:16" x14ac:dyDescent="0.25">
      <c r="C33" s="3" t="s">
        <v>205</v>
      </c>
      <c r="D33" s="90">
        <v>1</v>
      </c>
      <c r="E33" s="90">
        <v>12.33</v>
      </c>
      <c r="F33" s="90">
        <v>12.33</v>
      </c>
      <c r="G33" s="90">
        <v>12.33</v>
      </c>
      <c r="H33" s="90">
        <v>12.33</v>
      </c>
      <c r="I33" s="39"/>
      <c r="J33" s="39"/>
      <c r="K33" s="39"/>
      <c r="L33" s="39"/>
      <c r="M33" s="39"/>
      <c r="N33" s="39"/>
      <c r="O33" s="39"/>
      <c r="P33" s="39"/>
    </row>
    <row r="34" spans="2:16" x14ac:dyDescent="0.25">
      <c r="B34" s="8" t="s">
        <v>82</v>
      </c>
      <c r="C34" s="3" t="s">
        <v>267</v>
      </c>
      <c r="D34" s="89">
        <v>1</v>
      </c>
      <c r="E34" s="89">
        <v>1</v>
      </c>
      <c r="F34" s="89">
        <v>1</v>
      </c>
      <c r="G34" s="89">
        <v>1</v>
      </c>
      <c r="H34" s="89">
        <v>1</v>
      </c>
      <c r="I34" s="39"/>
      <c r="J34" s="39"/>
      <c r="K34" s="39"/>
      <c r="L34" s="39"/>
      <c r="M34" s="39"/>
      <c r="N34" s="39"/>
      <c r="O34" s="39"/>
      <c r="P34" s="39"/>
    </row>
    <row r="35" spans="2:16" x14ac:dyDescent="0.25">
      <c r="C35" s="3" t="s">
        <v>268</v>
      </c>
      <c r="D35" s="90">
        <v>1</v>
      </c>
      <c r="E35" s="90">
        <v>1.92</v>
      </c>
      <c r="F35" s="90">
        <v>1.92</v>
      </c>
      <c r="G35" s="90">
        <v>1.92</v>
      </c>
      <c r="H35" s="90">
        <v>1.92</v>
      </c>
      <c r="I35" s="39"/>
      <c r="J35" s="39"/>
      <c r="K35" s="39"/>
      <c r="L35" s="39"/>
      <c r="M35" s="39"/>
      <c r="N35" s="39"/>
      <c r="O35" s="39"/>
      <c r="P35" s="39"/>
    </row>
    <row r="36" spans="2:16" x14ac:dyDescent="0.25">
      <c r="C36" s="3" t="s">
        <v>204</v>
      </c>
      <c r="D36" s="90">
        <v>1</v>
      </c>
      <c r="E36" s="90">
        <v>4.66</v>
      </c>
      <c r="F36" s="90">
        <v>4.66</v>
      </c>
      <c r="G36" s="90">
        <v>4.66</v>
      </c>
      <c r="H36" s="90">
        <v>4.66</v>
      </c>
      <c r="I36" s="39"/>
      <c r="J36" s="39"/>
      <c r="K36" s="39"/>
      <c r="L36" s="39"/>
      <c r="M36" s="39"/>
      <c r="N36" s="39"/>
      <c r="O36" s="39"/>
      <c r="P36" s="39"/>
    </row>
    <row r="37" spans="2:16" x14ac:dyDescent="0.25">
      <c r="C37" s="3" t="s">
        <v>205</v>
      </c>
      <c r="D37" s="90">
        <v>1</v>
      </c>
      <c r="E37" s="90">
        <v>9.68</v>
      </c>
      <c r="F37" s="90">
        <v>9.68</v>
      </c>
      <c r="G37" s="90">
        <v>9.68</v>
      </c>
      <c r="H37" s="90">
        <v>9.68</v>
      </c>
      <c r="I37" s="39"/>
      <c r="J37" s="39"/>
      <c r="K37" s="39"/>
      <c r="L37" s="39"/>
      <c r="M37" s="39"/>
      <c r="N37" s="39"/>
      <c r="O37" s="39"/>
      <c r="P37" s="39"/>
    </row>
    <row r="38" spans="2:16" x14ac:dyDescent="0.25">
      <c r="B38" s="8" t="s">
        <v>84</v>
      </c>
      <c r="C38" s="3" t="s">
        <v>267</v>
      </c>
      <c r="D38" s="89">
        <v>1</v>
      </c>
      <c r="E38" s="89">
        <v>1</v>
      </c>
      <c r="F38" s="89">
        <v>1</v>
      </c>
      <c r="G38" s="89">
        <v>1</v>
      </c>
      <c r="H38" s="89">
        <v>1</v>
      </c>
      <c r="I38" s="39"/>
      <c r="J38" s="39"/>
      <c r="K38" s="39"/>
      <c r="L38" s="39"/>
      <c r="M38" s="39"/>
      <c r="N38" s="39"/>
      <c r="O38" s="39"/>
      <c r="P38" s="39"/>
    </row>
    <row r="39" spans="2:16" x14ac:dyDescent="0.25">
      <c r="C39" s="3" t="s">
        <v>268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  <c r="I39" s="39"/>
      <c r="J39" s="39"/>
      <c r="K39" s="39"/>
      <c r="L39" s="39"/>
      <c r="M39" s="39"/>
      <c r="N39" s="39"/>
      <c r="O39" s="39"/>
      <c r="P39" s="39"/>
    </row>
    <row r="40" spans="2:16" x14ac:dyDescent="0.25">
      <c r="C40" s="3" t="s">
        <v>204</v>
      </c>
      <c r="D40" s="90">
        <v>1</v>
      </c>
      <c r="E40" s="90">
        <v>2.58</v>
      </c>
      <c r="F40" s="90">
        <v>2.58</v>
      </c>
      <c r="G40" s="90">
        <v>2.58</v>
      </c>
      <c r="H40" s="90">
        <v>2.58</v>
      </c>
      <c r="I40" s="39"/>
      <c r="J40" s="39"/>
      <c r="K40" s="39"/>
      <c r="L40" s="39"/>
      <c r="M40" s="39"/>
      <c r="N40" s="39"/>
      <c r="O40" s="39"/>
      <c r="P40" s="39"/>
    </row>
    <row r="41" spans="2:16" x14ac:dyDescent="0.25">
      <c r="C41" s="3" t="s">
        <v>205</v>
      </c>
      <c r="D41" s="90">
        <v>1</v>
      </c>
      <c r="E41" s="90">
        <v>9.6300000000000008</v>
      </c>
      <c r="F41" s="90">
        <v>9.6300000000000008</v>
      </c>
      <c r="G41" s="90">
        <v>9.6300000000000008</v>
      </c>
      <c r="H41" s="90">
        <v>9.6300000000000008</v>
      </c>
      <c r="I41" s="39"/>
      <c r="J41" s="39"/>
      <c r="K41" s="39"/>
      <c r="L41" s="39"/>
      <c r="M41" s="39"/>
      <c r="N41" s="39"/>
      <c r="O41" s="39"/>
      <c r="P41" s="39"/>
    </row>
    <row r="42" spans="2:16" x14ac:dyDescent="0.25">
      <c r="B42" s="8" t="s">
        <v>85</v>
      </c>
      <c r="C42" s="3" t="s">
        <v>267</v>
      </c>
      <c r="D42" s="89">
        <v>1</v>
      </c>
      <c r="E42" s="89">
        <v>1</v>
      </c>
      <c r="F42" s="89">
        <v>1</v>
      </c>
      <c r="G42" s="89">
        <v>1</v>
      </c>
      <c r="H42" s="89">
        <v>1</v>
      </c>
      <c r="I42" s="39"/>
      <c r="J42" s="39"/>
      <c r="K42" s="39"/>
      <c r="L42" s="39"/>
      <c r="M42" s="39"/>
      <c r="N42" s="39"/>
      <c r="O42" s="39"/>
      <c r="P42" s="39"/>
    </row>
    <row r="43" spans="2:16" x14ac:dyDescent="0.25">
      <c r="C43" s="3" t="s">
        <v>268</v>
      </c>
      <c r="D43" s="90">
        <v>1</v>
      </c>
      <c r="E43" s="90">
        <v>1</v>
      </c>
      <c r="F43" s="90">
        <v>1</v>
      </c>
      <c r="G43" s="90">
        <v>1</v>
      </c>
      <c r="H43" s="90">
        <v>1</v>
      </c>
      <c r="I43" s="39"/>
      <c r="J43" s="39"/>
      <c r="K43" s="39"/>
      <c r="L43" s="39"/>
      <c r="M43" s="39"/>
      <c r="N43" s="39"/>
      <c r="O43" s="39"/>
      <c r="P43" s="39"/>
    </row>
    <row r="44" spans="2:16" x14ac:dyDescent="0.25">
      <c r="C44" s="3" t="s">
        <v>204</v>
      </c>
      <c r="D44" s="90">
        <v>1</v>
      </c>
      <c r="E44" s="90">
        <v>1</v>
      </c>
      <c r="F44" s="90">
        <v>1</v>
      </c>
      <c r="G44" s="90">
        <v>1</v>
      </c>
      <c r="H44" s="90">
        <v>1</v>
      </c>
      <c r="I44" s="39"/>
      <c r="J44" s="39"/>
      <c r="K44" s="39"/>
      <c r="L44" s="39"/>
      <c r="M44" s="39"/>
      <c r="N44" s="39"/>
      <c r="O44" s="39"/>
      <c r="P44" s="39"/>
    </row>
    <row r="45" spans="2:16" x14ac:dyDescent="0.25">
      <c r="C45" s="3" t="s">
        <v>205</v>
      </c>
      <c r="D45" s="90">
        <v>1</v>
      </c>
      <c r="E45" s="90">
        <v>1</v>
      </c>
      <c r="F45" s="90">
        <v>1</v>
      </c>
      <c r="G45" s="90">
        <v>1</v>
      </c>
      <c r="H45" s="90">
        <v>1</v>
      </c>
      <c r="I45" s="39"/>
      <c r="J45" s="39"/>
      <c r="K45" s="39"/>
      <c r="L45" s="39"/>
      <c r="M45" s="39"/>
      <c r="N45" s="39"/>
      <c r="O45" s="39"/>
      <c r="P45" s="39"/>
    </row>
    <row r="46" spans="2:16" x14ac:dyDescent="0.25">
      <c r="B46" s="8" t="s">
        <v>83</v>
      </c>
      <c r="C46" s="3" t="s">
        <v>267</v>
      </c>
      <c r="D46" s="89">
        <v>1</v>
      </c>
      <c r="E46" s="89">
        <v>1</v>
      </c>
      <c r="F46" s="89">
        <v>1</v>
      </c>
      <c r="G46" s="89">
        <v>1</v>
      </c>
      <c r="H46" s="89">
        <v>1</v>
      </c>
      <c r="I46" s="39"/>
      <c r="J46" s="39"/>
      <c r="K46" s="39"/>
      <c r="L46" s="39"/>
      <c r="M46" s="39"/>
      <c r="N46" s="39"/>
      <c r="O46" s="39"/>
      <c r="P46" s="39"/>
    </row>
    <row r="47" spans="2:16" x14ac:dyDescent="0.25">
      <c r="C47" s="3" t="s">
        <v>268</v>
      </c>
      <c r="D47" s="90">
        <v>1</v>
      </c>
      <c r="E47" s="90">
        <v>1.65</v>
      </c>
      <c r="F47" s="90">
        <v>1.65</v>
      </c>
      <c r="G47" s="90">
        <v>1.65</v>
      </c>
      <c r="H47" s="90">
        <v>1.65</v>
      </c>
      <c r="I47" s="39"/>
      <c r="J47" s="39"/>
      <c r="K47" s="39"/>
      <c r="L47" s="39"/>
      <c r="M47" s="39"/>
      <c r="N47" s="39"/>
      <c r="O47" s="39"/>
      <c r="P47" s="39"/>
    </row>
    <row r="48" spans="2:16" x14ac:dyDescent="0.25">
      <c r="C48" s="3" t="s">
        <v>204</v>
      </c>
      <c r="D48" s="90">
        <v>1</v>
      </c>
      <c r="E48" s="90">
        <v>2.73</v>
      </c>
      <c r="F48" s="90">
        <v>2.73</v>
      </c>
      <c r="G48" s="90">
        <v>2.73</v>
      </c>
      <c r="H48" s="90">
        <v>2.73</v>
      </c>
      <c r="I48" s="39"/>
      <c r="J48" s="39"/>
      <c r="K48" s="39"/>
      <c r="L48" s="39"/>
      <c r="M48" s="39"/>
      <c r="N48" s="39"/>
      <c r="O48" s="39"/>
      <c r="P48" s="39"/>
    </row>
    <row r="49" spans="1:16" x14ac:dyDescent="0.25">
      <c r="C49" s="3" t="s">
        <v>205</v>
      </c>
      <c r="D49" s="90">
        <v>1</v>
      </c>
      <c r="E49" s="90">
        <v>11.21</v>
      </c>
      <c r="F49" s="90">
        <v>11.21</v>
      </c>
      <c r="G49" s="90">
        <v>11.21</v>
      </c>
      <c r="H49" s="90">
        <v>11.21</v>
      </c>
      <c r="I49" s="39"/>
      <c r="J49" s="39"/>
      <c r="K49" s="39"/>
      <c r="L49" s="39"/>
      <c r="M49" s="39"/>
      <c r="N49" s="39"/>
      <c r="O49" s="39"/>
      <c r="P49" s="39"/>
    </row>
    <row r="50" spans="1:16" x14ac:dyDescent="0.25">
      <c r="B50" s="8" t="s">
        <v>89</v>
      </c>
      <c r="C50" s="3" t="s">
        <v>267</v>
      </c>
      <c r="D50" s="89">
        <v>1</v>
      </c>
      <c r="E50" s="89">
        <v>1</v>
      </c>
      <c r="F50" s="89">
        <v>1</v>
      </c>
      <c r="G50" s="89">
        <v>1</v>
      </c>
      <c r="H50" s="89">
        <v>1</v>
      </c>
      <c r="I50" s="39"/>
      <c r="J50" s="39"/>
      <c r="K50" s="39"/>
      <c r="L50" s="39"/>
      <c r="M50" s="39"/>
      <c r="N50" s="39"/>
      <c r="O50" s="39"/>
      <c r="P50" s="39"/>
    </row>
    <row r="51" spans="1:16" x14ac:dyDescent="0.25">
      <c r="C51" s="3" t="s">
        <v>268</v>
      </c>
      <c r="D51" s="90">
        <v>1</v>
      </c>
      <c r="E51" s="90">
        <v>1.65</v>
      </c>
      <c r="F51" s="90">
        <v>1.65</v>
      </c>
      <c r="G51" s="90">
        <v>1.65</v>
      </c>
      <c r="H51" s="90">
        <v>1.65</v>
      </c>
      <c r="I51" s="39"/>
      <c r="J51" s="39"/>
      <c r="K51" s="39"/>
      <c r="L51" s="39"/>
      <c r="M51" s="39"/>
      <c r="N51" s="39"/>
      <c r="O51" s="39"/>
      <c r="P51" s="39"/>
    </row>
    <row r="52" spans="1:16" x14ac:dyDescent="0.25">
      <c r="C52" s="3" t="s">
        <v>204</v>
      </c>
      <c r="D52" s="90">
        <v>1</v>
      </c>
      <c r="E52" s="90">
        <v>2.73</v>
      </c>
      <c r="F52" s="90">
        <v>2.73</v>
      </c>
      <c r="G52" s="90">
        <v>2.73</v>
      </c>
      <c r="H52" s="90">
        <v>2.73</v>
      </c>
      <c r="I52" s="39"/>
      <c r="J52" s="39"/>
      <c r="K52" s="39"/>
      <c r="L52" s="39"/>
      <c r="M52" s="39"/>
      <c r="N52" s="39"/>
      <c r="O52" s="39"/>
      <c r="P52" s="39"/>
    </row>
    <row r="53" spans="1:16" x14ac:dyDescent="0.25">
      <c r="C53" s="3" t="s">
        <v>205</v>
      </c>
      <c r="D53" s="90">
        <v>1</v>
      </c>
      <c r="E53" s="90">
        <v>11.21</v>
      </c>
      <c r="F53" s="90">
        <v>11.21</v>
      </c>
      <c r="G53" s="90">
        <v>11.21</v>
      </c>
      <c r="H53" s="90">
        <v>11.21</v>
      </c>
      <c r="I53" s="39"/>
      <c r="J53" s="39"/>
      <c r="K53" s="39"/>
      <c r="L53" s="39"/>
      <c r="M53" s="39"/>
      <c r="N53" s="39"/>
      <c r="O53" s="39"/>
      <c r="P53" s="39"/>
    </row>
    <row r="54" spans="1:16" x14ac:dyDescent="0.25">
      <c r="C54" s="3"/>
      <c r="D54" s="3"/>
    </row>
    <row r="55" spans="1:16" s="68" customFormat="1" ht="13" customHeight="1" x14ac:dyDescent="0.3">
      <c r="A55" s="67" t="s">
        <v>274</v>
      </c>
    </row>
    <row r="56" spans="1:16" ht="26" customHeight="1" x14ac:dyDescent="0.3">
      <c r="A56" s="39" t="s">
        <v>111</v>
      </c>
      <c r="B56" s="4" t="s">
        <v>265</v>
      </c>
      <c r="C56" s="69" t="s">
        <v>275</v>
      </c>
      <c r="D56" s="70" t="s">
        <v>112</v>
      </c>
      <c r="E56" s="70" t="s">
        <v>113</v>
      </c>
      <c r="F56" s="70" t="s">
        <v>114</v>
      </c>
      <c r="G56" s="70" t="s">
        <v>115</v>
      </c>
      <c r="H56" s="79"/>
      <c r="M56" s="79"/>
      <c r="N56" s="79"/>
      <c r="O56" s="79"/>
      <c r="P56" s="79"/>
    </row>
    <row r="57" spans="1:16" ht="13" customHeight="1" x14ac:dyDescent="0.3">
      <c r="A57" s="4"/>
      <c r="B57" s="8" t="s">
        <v>91</v>
      </c>
      <c r="C57" s="3" t="s">
        <v>276</v>
      </c>
      <c r="D57" s="89">
        <v>1</v>
      </c>
      <c r="E57" s="89">
        <v>1</v>
      </c>
      <c r="F57" s="89">
        <v>1</v>
      </c>
      <c r="G57" s="89">
        <v>1</v>
      </c>
      <c r="H57" s="39"/>
      <c r="M57" s="39"/>
      <c r="N57" s="39"/>
      <c r="O57" s="39"/>
      <c r="P57" s="39"/>
    </row>
    <row r="58" spans="1:16" x14ac:dyDescent="0.25">
      <c r="C58" s="3" t="s">
        <v>277</v>
      </c>
      <c r="D58" s="90">
        <v>10.675000000000001</v>
      </c>
      <c r="E58" s="90">
        <v>10.675000000000001</v>
      </c>
      <c r="F58" s="90">
        <v>10.675000000000001</v>
      </c>
      <c r="G58" s="90">
        <v>10.675000000000001</v>
      </c>
      <c r="H58" s="39"/>
      <c r="M58" s="39"/>
      <c r="N58" s="39"/>
      <c r="O58" s="39"/>
      <c r="P58" s="39"/>
    </row>
    <row r="59" spans="1:16" x14ac:dyDescent="0.25">
      <c r="B59" s="8" t="s">
        <v>92</v>
      </c>
      <c r="C59" s="3" t="s">
        <v>276</v>
      </c>
      <c r="D59" s="89">
        <v>1</v>
      </c>
      <c r="E59" s="89">
        <v>1</v>
      </c>
      <c r="F59" s="89">
        <v>1</v>
      </c>
      <c r="G59" s="89">
        <v>1</v>
      </c>
      <c r="H59" s="39"/>
      <c r="M59" s="39"/>
      <c r="N59" s="39"/>
      <c r="O59" s="39"/>
      <c r="P59" s="39"/>
    </row>
    <row r="60" spans="1:16" x14ac:dyDescent="0.25">
      <c r="C60" s="3" t="s">
        <v>277</v>
      </c>
      <c r="D60" s="90">
        <v>10.675000000000001</v>
      </c>
      <c r="E60" s="90">
        <v>10.675000000000001</v>
      </c>
      <c r="F60" s="90">
        <v>10.675000000000001</v>
      </c>
      <c r="G60" s="90">
        <v>10.675000000000001</v>
      </c>
      <c r="H60" s="39"/>
      <c r="M60" s="39"/>
      <c r="N60" s="39"/>
      <c r="O60" s="39"/>
      <c r="P60" s="39"/>
    </row>
    <row r="61" spans="1:16" x14ac:dyDescent="0.25">
      <c r="B61" s="8" t="s">
        <v>93</v>
      </c>
      <c r="C61" s="3" t="s">
        <v>276</v>
      </c>
      <c r="D61" s="89">
        <v>1</v>
      </c>
      <c r="E61" s="89">
        <v>1</v>
      </c>
      <c r="F61" s="89">
        <v>1</v>
      </c>
      <c r="G61" s="89">
        <v>1</v>
      </c>
      <c r="H61" s="39"/>
      <c r="M61" s="39"/>
      <c r="N61" s="39"/>
      <c r="O61" s="39"/>
      <c r="P61" s="39"/>
    </row>
    <row r="62" spans="1:16" x14ac:dyDescent="0.25">
      <c r="C62" s="3" t="s">
        <v>277</v>
      </c>
      <c r="D62" s="90">
        <v>10.675000000000001</v>
      </c>
      <c r="E62" s="90">
        <v>10.675000000000001</v>
      </c>
      <c r="F62" s="90">
        <v>10.675000000000001</v>
      </c>
      <c r="G62" s="90">
        <v>10.675000000000001</v>
      </c>
      <c r="H62" s="39"/>
      <c r="M62" s="39"/>
      <c r="N62" s="39"/>
      <c r="O62" s="39"/>
      <c r="P62" s="39"/>
    </row>
    <row r="63" spans="1:16" x14ac:dyDescent="0.25">
      <c r="C63" s="3"/>
      <c r="D63" s="3"/>
    </row>
    <row r="64" spans="1:16" s="68" customFormat="1" ht="13" customHeight="1" x14ac:dyDescent="0.3">
      <c r="A64" s="67" t="s">
        <v>278</v>
      </c>
    </row>
    <row r="65" spans="1:16" ht="26" customHeight="1" x14ac:dyDescent="0.3">
      <c r="A65" s="39" t="s">
        <v>118</v>
      </c>
      <c r="B65" s="4" t="s">
        <v>265</v>
      </c>
      <c r="C65" s="69" t="s">
        <v>279</v>
      </c>
      <c r="D65" s="70" t="s">
        <v>67</v>
      </c>
      <c r="E65" s="70" t="s">
        <v>77</v>
      </c>
      <c r="F65" s="70" t="s">
        <v>78</v>
      </c>
      <c r="G65" s="70" t="s">
        <v>79</v>
      </c>
      <c r="H65" s="81" t="s">
        <v>80</v>
      </c>
      <c r="I65" s="79"/>
      <c r="J65" s="79"/>
      <c r="K65" s="79"/>
      <c r="L65" s="79"/>
      <c r="M65" s="79"/>
      <c r="N65" s="79"/>
      <c r="O65" s="79"/>
      <c r="P65" s="79"/>
    </row>
    <row r="66" spans="1:16" ht="13" customHeight="1" x14ac:dyDescent="0.3">
      <c r="A66" s="82"/>
      <c r="B66" s="8" t="s">
        <v>68</v>
      </c>
      <c r="C66" s="3" t="s">
        <v>119</v>
      </c>
      <c r="D66" s="90">
        <v>1.35</v>
      </c>
      <c r="E66" s="89">
        <v>1</v>
      </c>
      <c r="F66" s="89">
        <v>1</v>
      </c>
      <c r="G66" s="89">
        <v>1</v>
      </c>
      <c r="H66" s="39">
        <v>1</v>
      </c>
      <c r="I66" s="39"/>
      <c r="J66" s="39"/>
      <c r="K66" s="39"/>
      <c r="L66" s="39"/>
      <c r="M66" s="39"/>
      <c r="N66" s="39"/>
      <c r="O66" s="39"/>
      <c r="P66" s="39"/>
    </row>
    <row r="67" spans="1:16" x14ac:dyDescent="0.25">
      <c r="C67" s="3" t="s">
        <v>120</v>
      </c>
      <c r="D67" s="90">
        <v>1.35</v>
      </c>
      <c r="E67" s="90">
        <v>1</v>
      </c>
      <c r="F67" s="90">
        <v>1</v>
      </c>
      <c r="G67" s="90">
        <v>1</v>
      </c>
      <c r="H67" s="39">
        <v>1</v>
      </c>
      <c r="I67" s="39"/>
      <c r="J67" s="39"/>
      <c r="K67" s="39"/>
      <c r="L67" s="39"/>
      <c r="M67" s="39"/>
      <c r="N67" s="39"/>
      <c r="O67" s="39"/>
      <c r="P67" s="39"/>
    </row>
    <row r="68" spans="1:16" x14ac:dyDescent="0.25">
      <c r="C68" s="3" t="s">
        <v>121</v>
      </c>
      <c r="D68" s="90">
        <v>1.35</v>
      </c>
      <c r="E68" s="90">
        <v>1</v>
      </c>
      <c r="F68" s="90">
        <v>1</v>
      </c>
      <c r="G68" s="90">
        <v>1</v>
      </c>
      <c r="H68" s="39">
        <v>1</v>
      </c>
      <c r="I68" s="39"/>
      <c r="J68" s="39"/>
      <c r="K68" s="39"/>
      <c r="L68" s="39"/>
      <c r="M68" s="39"/>
      <c r="N68" s="39"/>
      <c r="O68" s="39"/>
      <c r="P68" s="39"/>
    </row>
    <row r="69" spans="1:16" x14ac:dyDescent="0.25">
      <c r="C69" s="3" t="s">
        <v>122</v>
      </c>
      <c r="D69" s="90">
        <v>5.4</v>
      </c>
      <c r="E69" s="90">
        <v>1</v>
      </c>
      <c r="F69" s="90">
        <v>1</v>
      </c>
      <c r="G69" s="90">
        <v>1</v>
      </c>
      <c r="H69" s="39">
        <v>1</v>
      </c>
      <c r="I69" s="39"/>
      <c r="J69" s="39"/>
      <c r="K69" s="39"/>
      <c r="L69" s="39"/>
      <c r="M69" s="39"/>
      <c r="N69" s="39"/>
      <c r="O69" s="39"/>
      <c r="P69" s="39"/>
    </row>
    <row r="70" spans="1:16" x14ac:dyDescent="0.25">
      <c r="B70" s="8" t="s">
        <v>69</v>
      </c>
      <c r="C70" s="3" t="s">
        <v>119</v>
      </c>
      <c r="D70" s="90">
        <v>1.35</v>
      </c>
      <c r="E70" s="89">
        <v>1</v>
      </c>
      <c r="F70" s="89">
        <v>1</v>
      </c>
      <c r="G70" s="89">
        <v>1</v>
      </c>
      <c r="H70" s="39">
        <v>1</v>
      </c>
      <c r="I70" s="39"/>
      <c r="J70" s="39"/>
      <c r="K70" s="39"/>
      <c r="L70" s="39"/>
      <c r="M70" s="39"/>
      <c r="N70" s="39"/>
      <c r="O70" s="39"/>
      <c r="P70" s="39"/>
    </row>
    <row r="71" spans="1:16" x14ac:dyDescent="0.25">
      <c r="C71" s="3" t="s">
        <v>120</v>
      </c>
      <c r="D71" s="90">
        <v>1.35</v>
      </c>
      <c r="E71" s="90">
        <v>1</v>
      </c>
      <c r="F71" s="90">
        <v>1</v>
      </c>
      <c r="G71" s="90">
        <v>1</v>
      </c>
      <c r="H71" s="39">
        <v>1</v>
      </c>
      <c r="I71" s="39"/>
      <c r="J71" s="39"/>
      <c r="K71" s="39"/>
      <c r="L71" s="39"/>
      <c r="M71" s="39"/>
      <c r="N71" s="39"/>
      <c r="O71" s="39"/>
      <c r="P71" s="39"/>
    </row>
    <row r="72" spans="1:16" x14ac:dyDescent="0.25">
      <c r="C72" s="3" t="s">
        <v>121</v>
      </c>
      <c r="D72" s="90">
        <v>1.35</v>
      </c>
      <c r="E72" s="90">
        <v>1</v>
      </c>
      <c r="F72" s="90">
        <v>1</v>
      </c>
      <c r="G72" s="90">
        <v>1</v>
      </c>
      <c r="H72" s="39">
        <v>1</v>
      </c>
      <c r="I72" s="39"/>
      <c r="J72" s="39"/>
      <c r="K72" s="39"/>
      <c r="L72" s="39"/>
      <c r="M72" s="39"/>
      <c r="N72" s="39"/>
      <c r="O72" s="39"/>
      <c r="P72" s="39"/>
    </row>
    <row r="73" spans="1:16" x14ac:dyDescent="0.25">
      <c r="C73" s="3" t="s">
        <v>122</v>
      </c>
      <c r="D73" s="90">
        <v>5.4</v>
      </c>
      <c r="E73" s="90">
        <v>1</v>
      </c>
      <c r="F73" s="90">
        <v>1</v>
      </c>
      <c r="G73" s="90">
        <v>1</v>
      </c>
      <c r="H73" s="39">
        <v>1</v>
      </c>
      <c r="I73" s="39"/>
      <c r="J73" s="39"/>
      <c r="K73" s="39"/>
      <c r="L73" s="39"/>
      <c r="M73" s="39"/>
      <c r="N73" s="39"/>
      <c r="O73" s="39"/>
      <c r="P73" s="39"/>
    </row>
    <row r="74" spans="1:16" x14ac:dyDescent="0.25">
      <c r="B74" s="8" t="s">
        <v>70</v>
      </c>
      <c r="C74" s="3" t="s">
        <v>119</v>
      </c>
      <c r="D74" s="90">
        <v>1.35</v>
      </c>
      <c r="E74" s="89">
        <v>1</v>
      </c>
      <c r="F74" s="89">
        <v>1</v>
      </c>
      <c r="G74" s="89">
        <v>1</v>
      </c>
      <c r="H74" s="39">
        <v>1</v>
      </c>
      <c r="I74" s="39"/>
      <c r="J74" s="39"/>
      <c r="K74" s="39"/>
      <c r="L74" s="39"/>
      <c r="M74" s="39"/>
      <c r="N74" s="39"/>
      <c r="O74" s="39"/>
      <c r="P74" s="39"/>
    </row>
    <row r="75" spans="1:16" x14ac:dyDescent="0.25">
      <c r="C75" s="3" t="s">
        <v>120</v>
      </c>
      <c r="D75" s="90">
        <v>1.35</v>
      </c>
      <c r="E75" s="90">
        <v>1</v>
      </c>
      <c r="F75" s="90">
        <v>1</v>
      </c>
      <c r="G75" s="90">
        <v>1</v>
      </c>
      <c r="H75" s="39">
        <v>1</v>
      </c>
      <c r="I75" s="39"/>
      <c r="J75" s="39"/>
      <c r="K75" s="39"/>
      <c r="L75" s="39"/>
      <c r="M75" s="39"/>
      <c r="N75" s="39"/>
      <c r="O75" s="39"/>
      <c r="P75" s="39"/>
    </row>
    <row r="76" spans="1:16" x14ac:dyDescent="0.25">
      <c r="C76" s="3" t="s">
        <v>121</v>
      </c>
      <c r="D76" s="90">
        <v>1.35</v>
      </c>
      <c r="E76" s="90">
        <v>1</v>
      </c>
      <c r="F76" s="90">
        <v>1</v>
      </c>
      <c r="G76" s="90">
        <v>1</v>
      </c>
      <c r="H76" s="39">
        <v>1</v>
      </c>
      <c r="I76" s="39"/>
      <c r="J76" s="39"/>
      <c r="K76" s="39"/>
      <c r="L76" s="39"/>
      <c r="M76" s="39"/>
      <c r="N76" s="39"/>
      <c r="O76" s="39"/>
      <c r="P76" s="39"/>
    </row>
    <row r="77" spans="1:16" x14ac:dyDescent="0.25">
      <c r="C77" s="3" t="s">
        <v>122</v>
      </c>
      <c r="D77" s="90">
        <v>5.4</v>
      </c>
      <c r="E77" s="90">
        <v>1</v>
      </c>
      <c r="F77" s="90">
        <v>1</v>
      </c>
      <c r="G77" s="90">
        <v>1</v>
      </c>
      <c r="H77" s="39">
        <v>1</v>
      </c>
      <c r="I77" s="39"/>
      <c r="J77" s="39"/>
      <c r="K77" s="39"/>
      <c r="L77" s="39"/>
      <c r="M77" s="39"/>
      <c r="N77" s="39"/>
      <c r="O77" s="39"/>
      <c r="P77" s="39"/>
    </row>
    <row r="78" spans="1:16" x14ac:dyDescent="0.25">
      <c r="B78" s="8" t="s">
        <v>72</v>
      </c>
      <c r="C78" s="3" t="s">
        <v>119</v>
      </c>
      <c r="D78" s="89">
        <v>1</v>
      </c>
      <c r="E78" s="89">
        <v>1</v>
      </c>
      <c r="F78" s="89">
        <v>1</v>
      </c>
      <c r="G78" s="89">
        <v>1</v>
      </c>
      <c r="H78" s="39">
        <v>1</v>
      </c>
      <c r="I78" s="39"/>
      <c r="J78" s="39"/>
      <c r="K78" s="39"/>
      <c r="L78" s="39"/>
      <c r="M78" s="39"/>
      <c r="N78" s="39"/>
      <c r="O78" s="39"/>
      <c r="P78" s="39"/>
    </row>
    <row r="79" spans="1:16" x14ac:dyDescent="0.25">
      <c r="C79" s="3" t="s">
        <v>120</v>
      </c>
      <c r="D79" s="90">
        <v>1</v>
      </c>
      <c r="E79" s="90">
        <v>1</v>
      </c>
      <c r="F79" s="90">
        <v>1</v>
      </c>
      <c r="G79" s="90">
        <v>1</v>
      </c>
      <c r="H79" s="39">
        <v>1</v>
      </c>
      <c r="I79" s="39"/>
      <c r="J79" s="39"/>
      <c r="K79" s="39"/>
      <c r="L79" s="39"/>
      <c r="M79" s="39"/>
      <c r="N79" s="39"/>
      <c r="O79" s="39"/>
      <c r="P79" s="39"/>
    </row>
    <row r="80" spans="1:16" x14ac:dyDescent="0.25">
      <c r="C80" s="3" t="s">
        <v>121</v>
      </c>
      <c r="D80" s="90">
        <v>1</v>
      </c>
      <c r="E80" s="90">
        <v>1</v>
      </c>
      <c r="F80" s="90">
        <v>1</v>
      </c>
      <c r="G80" s="90">
        <v>1</v>
      </c>
      <c r="H80" s="39">
        <v>1</v>
      </c>
      <c r="I80" s="39"/>
      <c r="J80" s="39"/>
      <c r="K80" s="39"/>
      <c r="L80" s="39"/>
      <c r="M80" s="39"/>
      <c r="N80" s="39"/>
      <c r="O80" s="39"/>
      <c r="P80" s="39"/>
    </row>
    <row r="81" spans="2:16" x14ac:dyDescent="0.25">
      <c r="C81" s="3" t="s">
        <v>122</v>
      </c>
      <c r="D81" s="90">
        <v>1</v>
      </c>
      <c r="E81" s="90">
        <v>1</v>
      </c>
      <c r="F81" s="90">
        <v>1</v>
      </c>
      <c r="G81" s="90">
        <v>1</v>
      </c>
      <c r="H81" s="39">
        <v>1</v>
      </c>
      <c r="I81" s="39"/>
      <c r="J81" s="39"/>
      <c r="K81" s="39"/>
      <c r="L81" s="39"/>
      <c r="M81" s="39"/>
      <c r="N81" s="39"/>
      <c r="O81" s="39"/>
      <c r="P81" s="39"/>
    </row>
    <row r="82" spans="2:16" x14ac:dyDescent="0.25">
      <c r="B82" s="8" t="s">
        <v>81</v>
      </c>
      <c r="C82" s="3" t="s">
        <v>119</v>
      </c>
      <c r="D82" s="89">
        <v>1</v>
      </c>
      <c r="E82" s="89">
        <v>1</v>
      </c>
      <c r="F82" s="89">
        <v>1</v>
      </c>
      <c r="G82" s="89">
        <v>1</v>
      </c>
      <c r="H82" s="39">
        <v>1</v>
      </c>
      <c r="I82" s="39"/>
      <c r="J82" s="39"/>
      <c r="K82" s="39"/>
      <c r="L82" s="39"/>
      <c r="M82" s="39"/>
      <c r="N82" s="39"/>
      <c r="O82" s="39"/>
      <c r="P82" s="39"/>
    </row>
    <row r="83" spans="2:16" x14ac:dyDescent="0.25">
      <c r="C83" s="3" t="s">
        <v>120</v>
      </c>
      <c r="D83" s="90">
        <v>1</v>
      </c>
      <c r="E83" s="90">
        <v>2.2799999999999998</v>
      </c>
      <c r="F83" s="90">
        <v>1</v>
      </c>
      <c r="G83" s="90">
        <v>1</v>
      </c>
      <c r="H83" s="39">
        <v>1</v>
      </c>
      <c r="I83" s="39"/>
      <c r="J83" s="39"/>
      <c r="K83" s="39"/>
      <c r="L83" s="39"/>
      <c r="M83" s="39"/>
      <c r="N83" s="39"/>
      <c r="O83" s="39"/>
      <c r="P83" s="39"/>
    </row>
    <row r="84" spans="2:16" x14ac:dyDescent="0.25">
      <c r="C84" s="3" t="s">
        <v>121</v>
      </c>
      <c r="D84" s="90">
        <v>1</v>
      </c>
      <c r="E84" s="90">
        <v>4.62</v>
      </c>
      <c r="F84" s="90">
        <v>1</v>
      </c>
      <c r="G84" s="90">
        <v>1</v>
      </c>
      <c r="H84" s="39">
        <v>1</v>
      </c>
      <c r="I84" s="39"/>
      <c r="J84" s="39"/>
      <c r="K84" s="39"/>
      <c r="L84" s="39"/>
      <c r="M84" s="39"/>
      <c r="N84" s="39"/>
      <c r="O84" s="39"/>
      <c r="P84" s="39"/>
    </row>
    <row r="85" spans="2:16" x14ac:dyDescent="0.25">
      <c r="C85" s="3" t="s">
        <v>122</v>
      </c>
      <c r="D85" s="90">
        <v>1</v>
      </c>
      <c r="E85" s="90">
        <v>10.53</v>
      </c>
      <c r="F85" s="90">
        <v>1.47</v>
      </c>
      <c r="G85" s="90">
        <v>2.57</v>
      </c>
      <c r="H85" s="39">
        <v>1</v>
      </c>
      <c r="I85" s="39"/>
      <c r="J85" s="39"/>
      <c r="K85" s="39"/>
      <c r="L85" s="39"/>
      <c r="M85" s="39"/>
      <c r="N85" s="39"/>
      <c r="O85" s="39"/>
      <c r="P85" s="39"/>
    </row>
    <row r="86" spans="2:16" x14ac:dyDescent="0.25">
      <c r="B86" s="8" t="s">
        <v>82</v>
      </c>
      <c r="C86" s="3" t="s">
        <v>119</v>
      </c>
      <c r="D86" s="89">
        <v>1</v>
      </c>
      <c r="E86" s="89">
        <v>1</v>
      </c>
      <c r="F86" s="89">
        <v>1</v>
      </c>
      <c r="G86" s="89">
        <v>1</v>
      </c>
      <c r="H86" s="39">
        <v>1</v>
      </c>
      <c r="I86" s="39"/>
      <c r="J86" s="39"/>
      <c r="K86" s="39"/>
      <c r="L86" s="39"/>
      <c r="M86" s="39"/>
      <c r="N86" s="39"/>
      <c r="O86" s="39"/>
      <c r="P86" s="39"/>
    </row>
    <row r="87" spans="2:16" x14ac:dyDescent="0.25">
      <c r="C87" s="3" t="s">
        <v>120</v>
      </c>
      <c r="D87" s="90">
        <v>1</v>
      </c>
      <c r="E87" s="90">
        <v>1.66</v>
      </c>
      <c r="F87" s="90">
        <v>1</v>
      </c>
      <c r="G87" s="90">
        <v>1</v>
      </c>
      <c r="H87" s="39">
        <v>1</v>
      </c>
      <c r="I87" s="39"/>
      <c r="J87" s="39"/>
      <c r="K87" s="39"/>
      <c r="L87" s="39"/>
      <c r="M87" s="39"/>
      <c r="N87" s="39"/>
      <c r="O87" s="39"/>
      <c r="P87" s="39"/>
    </row>
    <row r="88" spans="2:16" x14ac:dyDescent="0.25">
      <c r="C88" s="3" t="s">
        <v>121</v>
      </c>
      <c r="D88" s="90">
        <v>1</v>
      </c>
      <c r="E88" s="90">
        <v>2.5</v>
      </c>
      <c r="F88" s="90">
        <v>1</v>
      </c>
      <c r="G88" s="90">
        <v>1</v>
      </c>
      <c r="H88" s="39">
        <v>1</v>
      </c>
      <c r="I88" s="39"/>
      <c r="J88" s="39"/>
      <c r="K88" s="39"/>
      <c r="L88" s="39"/>
      <c r="M88" s="39"/>
      <c r="N88" s="39"/>
      <c r="O88" s="39"/>
      <c r="P88" s="39"/>
    </row>
    <row r="89" spans="2:16" x14ac:dyDescent="0.25">
      <c r="C89" s="3" t="s">
        <v>122</v>
      </c>
      <c r="D89" s="90">
        <v>1</v>
      </c>
      <c r="E89" s="90">
        <v>14.97</v>
      </c>
      <c r="F89" s="90">
        <v>1.92</v>
      </c>
      <c r="G89" s="90">
        <v>1.92</v>
      </c>
      <c r="H89" s="39">
        <v>1</v>
      </c>
      <c r="I89" s="39"/>
      <c r="J89" s="39"/>
      <c r="K89" s="39"/>
      <c r="L89" s="39"/>
      <c r="M89" s="39"/>
      <c r="N89" s="39"/>
      <c r="O89" s="39"/>
      <c r="P89" s="39"/>
    </row>
    <row r="90" spans="2:16" x14ac:dyDescent="0.25">
      <c r="B90" s="8" t="s">
        <v>84</v>
      </c>
      <c r="C90" s="3" t="s">
        <v>119</v>
      </c>
      <c r="D90" s="89">
        <v>1</v>
      </c>
      <c r="E90" s="89">
        <v>1</v>
      </c>
      <c r="F90" s="89">
        <v>1</v>
      </c>
      <c r="G90" s="89">
        <v>1</v>
      </c>
      <c r="H90" s="39">
        <v>1</v>
      </c>
      <c r="I90" s="39"/>
      <c r="J90" s="39"/>
      <c r="K90" s="39"/>
      <c r="L90" s="39"/>
      <c r="M90" s="39"/>
      <c r="N90" s="39"/>
      <c r="O90" s="39"/>
      <c r="P90" s="39"/>
    </row>
    <row r="91" spans="2:16" x14ac:dyDescent="0.25">
      <c r="C91" s="3" t="s">
        <v>120</v>
      </c>
      <c r="D91" s="90">
        <v>1</v>
      </c>
      <c r="E91" s="90">
        <v>1.48</v>
      </c>
      <c r="F91" s="90">
        <v>1</v>
      </c>
      <c r="G91" s="90">
        <v>1</v>
      </c>
      <c r="H91" s="39">
        <v>1</v>
      </c>
      <c r="I91" s="39"/>
      <c r="J91" s="39"/>
      <c r="K91" s="39"/>
      <c r="L91" s="39"/>
      <c r="M91" s="39"/>
      <c r="N91" s="39"/>
      <c r="O91" s="39"/>
      <c r="P91" s="39"/>
    </row>
    <row r="92" spans="2:16" x14ac:dyDescent="0.25">
      <c r="C92" s="3" t="s">
        <v>121</v>
      </c>
      <c r="D92" s="90">
        <v>1</v>
      </c>
      <c r="E92" s="90">
        <v>2.84</v>
      </c>
      <c r="F92" s="90">
        <v>1</v>
      </c>
      <c r="G92" s="90">
        <v>1</v>
      </c>
      <c r="H92" s="39">
        <v>1</v>
      </c>
      <c r="I92" s="39"/>
      <c r="J92" s="39"/>
      <c r="K92" s="39"/>
      <c r="L92" s="39"/>
      <c r="M92" s="39"/>
      <c r="N92" s="39"/>
      <c r="O92" s="39"/>
      <c r="P92" s="39"/>
    </row>
    <row r="93" spans="2:16" x14ac:dyDescent="0.25">
      <c r="C93" s="3" t="s">
        <v>122</v>
      </c>
      <c r="D93" s="90">
        <v>1</v>
      </c>
      <c r="E93" s="90">
        <v>14.4</v>
      </c>
      <c r="F93" s="90">
        <v>3.69</v>
      </c>
      <c r="G93" s="90">
        <v>3.69</v>
      </c>
      <c r="H93" s="39">
        <v>1</v>
      </c>
      <c r="I93" s="39"/>
      <c r="J93" s="39"/>
      <c r="K93" s="39"/>
      <c r="L93" s="39"/>
      <c r="M93" s="39"/>
      <c r="N93" s="39"/>
      <c r="O93" s="39"/>
      <c r="P93" s="39"/>
    </row>
    <row r="94" spans="2:16" x14ac:dyDescent="0.25">
      <c r="B94" s="8" t="s">
        <v>83</v>
      </c>
      <c r="C94" s="3" t="s">
        <v>119</v>
      </c>
      <c r="D94" s="89">
        <v>1</v>
      </c>
      <c r="E94" s="89">
        <v>1</v>
      </c>
      <c r="F94" s="89">
        <v>1</v>
      </c>
      <c r="G94" s="89">
        <v>1</v>
      </c>
      <c r="H94" s="39">
        <v>1</v>
      </c>
      <c r="I94" s="39"/>
      <c r="J94" s="39"/>
      <c r="K94" s="39"/>
      <c r="L94" s="39"/>
      <c r="M94" s="39"/>
      <c r="N94" s="39"/>
      <c r="O94" s="39"/>
      <c r="P94" s="39"/>
    </row>
    <row r="95" spans="2:16" x14ac:dyDescent="0.25">
      <c r="C95" s="3" t="s">
        <v>120</v>
      </c>
      <c r="D95" s="90">
        <v>1</v>
      </c>
      <c r="E95" s="90">
        <v>1.48</v>
      </c>
      <c r="F95" s="90">
        <v>1</v>
      </c>
      <c r="G95" s="90">
        <v>1</v>
      </c>
      <c r="H95" s="39">
        <v>1</v>
      </c>
      <c r="I95" s="39"/>
      <c r="J95" s="39"/>
      <c r="K95" s="39"/>
      <c r="L95" s="39"/>
      <c r="M95" s="39"/>
      <c r="N95" s="39"/>
      <c r="O95" s="39"/>
      <c r="P95" s="39"/>
    </row>
    <row r="96" spans="2:16" x14ac:dyDescent="0.25">
      <c r="C96" s="3" t="s">
        <v>121</v>
      </c>
      <c r="D96" s="90">
        <v>1</v>
      </c>
      <c r="E96" s="90">
        <v>2.84</v>
      </c>
      <c r="F96" s="90">
        <v>1</v>
      </c>
      <c r="G96" s="90">
        <v>1</v>
      </c>
      <c r="H96" s="39">
        <v>1</v>
      </c>
      <c r="I96" s="39"/>
      <c r="J96" s="39"/>
      <c r="K96" s="39"/>
      <c r="L96" s="39"/>
      <c r="M96" s="39"/>
      <c r="N96" s="39"/>
      <c r="O96" s="39"/>
      <c r="P96" s="39"/>
    </row>
    <row r="97" spans="1:16" x14ac:dyDescent="0.25">
      <c r="C97" s="3" t="s">
        <v>122</v>
      </c>
      <c r="D97" s="90">
        <v>1</v>
      </c>
      <c r="E97" s="90">
        <v>14.4</v>
      </c>
      <c r="F97" s="90">
        <v>3.69</v>
      </c>
      <c r="G97" s="90">
        <v>3.69</v>
      </c>
      <c r="H97" s="39">
        <v>1</v>
      </c>
      <c r="I97" s="39"/>
      <c r="J97" s="39"/>
      <c r="K97" s="39"/>
      <c r="L97" s="39"/>
      <c r="M97" s="39"/>
      <c r="N97" s="39"/>
      <c r="O97" s="39"/>
      <c r="P97" s="39"/>
    </row>
    <row r="98" spans="1:16" x14ac:dyDescent="0.25">
      <c r="B98" s="8" t="s">
        <v>86</v>
      </c>
      <c r="C98" s="3" t="s">
        <v>119</v>
      </c>
      <c r="D98" s="89">
        <v>1</v>
      </c>
      <c r="E98" s="89">
        <v>1</v>
      </c>
      <c r="F98" s="89">
        <v>1</v>
      </c>
      <c r="G98" s="89">
        <v>1</v>
      </c>
      <c r="H98" s="39">
        <v>1</v>
      </c>
      <c r="I98" s="39"/>
      <c r="J98" s="39"/>
      <c r="K98" s="39"/>
      <c r="L98" s="39"/>
      <c r="M98" s="39"/>
      <c r="N98" s="39"/>
      <c r="O98" s="39"/>
      <c r="P98" s="39"/>
    </row>
    <row r="99" spans="1:16" x14ac:dyDescent="0.25">
      <c r="C99" s="3" t="s">
        <v>120</v>
      </c>
      <c r="D99" s="90">
        <v>1</v>
      </c>
      <c r="E99" s="90">
        <v>1.48</v>
      </c>
      <c r="F99" s="90">
        <v>1</v>
      </c>
      <c r="G99" s="90">
        <v>1</v>
      </c>
      <c r="H99" s="39">
        <v>1</v>
      </c>
      <c r="I99" s="39"/>
      <c r="J99" s="39"/>
      <c r="K99" s="39"/>
      <c r="L99" s="39"/>
      <c r="M99" s="39"/>
      <c r="N99" s="39"/>
      <c r="O99" s="39"/>
      <c r="P99" s="39"/>
    </row>
    <row r="100" spans="1:16" x14ac:dyDescent="0.25">
      <c r="C100" s="3" t="s">
        <v>121</v>
      </c>
      <c r="D100" s="90">
        <v>1</v>
      </c>
      <c r="E100" s="90">
        <v>2.84</v>
      </c>
      <c r="F100" s="90">
        <v>1</v>
      </c>
      <c r="G100" s="90">
        <v>1</v>
      </c>
      <c r="H100" s="39">
        <v>1</v>
      </c>
      <c r="I100" s="39"/>
      <c r="J100" s="39"/>
      <c r="K100" s="39"/>
      <c r="L100" s="39"/>
      <c r="M100" s="39"/>
      <c r="N100" s="39"/>
      <c r="O100" s="39"/>
      <c r="P100" s="39"/>
    </row>
    <row r="101" spans="1:16" x14ac:dyDescent="0.25">
      <c r="C101" s="3" t="s">
        <v>122</v>
      </c>
      <c r="D101" s="90">
        <v>1</v>
      </c>
      <c r="E101" s="90">
        <v>14.4</v>
      </c>
      <c r="F101" s="90">
        <v>3.69</v>
      </c>
      <c r="G101" s="90">
        <v>3.69</v>
      </c>
      <c r="H101" s="39">
        <v>1</v>
      </c>
      <c r="I101" s="39"/>
      <c r="J101" s="39"/>
      <c r="K101" s="39"/>
      <c r="L101" s="39"/>
      <c r="M101" s="39"/>
      <c r="N101" s="39"/>
      <c r="O101" s="39"/>
      <c r="P101" s="39"/>
    </row>
    <row r="103" spans="1:16" s="68" customFormat="1" ht="13" customHeight="1" x14ac:dyDescent="0.3">
      <c r="A103" s="67" t="s">
        <v>280</v>
      </c>
    </row>
    <row r="104" spans="1:16" ht="26" customHeight="1" x14ac:dyDescent="0.3">
      <c r="A104" s="39" t="s">
        <v>81</v>
      </c>
      <c r="B104" s="82" t="s">
        <v>122</v>
      </c>
      <c r="C104" s="69" t="s">
        <v>279</v>
      </c>
      <c r="D104" s="70" t="s">
        <v>67</v>
      </c>
      <c r="E104" s="70" t="s">
        <v>77</v>
      </c>
      <c r="F104" s="70" t="s">
        <v>78</v>
      </c>
      <c r="G104" s="70" t="s">
        <v>79</v>
      </c>
      <c r="H104" s="81" t="s">
        <v>80</v>
      </c>
      <c r="I104" s="79"/>
      <c r="J104" s="79"/>
      <c r="K104" s="79"/>
      <c r="L104" s="79"/>
      <c r="M104" s="79"/>
      <c r="N104" s="79"/>
      <c r="O104" s="79"/>
      <c r="P104" s="79"/>
    </row>
    <row r="105" spans="1:16" ht="13" customHeight="1" x14ac:dyDescent="0.3">
      <c r="A105" s="4"/>
      <c r="C105" s="3" t="s">
        <v>119</v>
      </c>
      <c r="D105" s="89">
        <v>1</v>
      </c>
      <c r="E105" s="89">
        <v>1</v>
      </c>
      <c r="F105" s="89">
        <v>1</v>
      </c>
      <c r="G105" s="89">
        <v>1</v>
      </c>
      <c r="H105" s="39">
        <v>1</v>
      </c>
      <c r="I105" s="39"/>
      <c r="J105" s="39"/>
      <c r="K105" s="39"/>
      <c r="L105" s="39"/>
      <c r="M105" s="39"/>
      <c r="N105" s="39"/>
      <c r="O105" s="39"/>
      <c r="P105" s="39"/>
    </row>
    <row r="106" spans="1:16" x14ac:dyDescent="0.25">
      <c r="C106" s="3" t="s">
        <v>120</v>
      </c>
      <c r="D106" s="90">
        <v>1.26</v>
      </c>
      <c r="E106" s="90">
        <v>1.26</v>
      </c>
      <c r="F106" s="90">
        <v>1</v>
      </c>
      <c r="G106" s="90">
        <v>1</v>
      </c>
      <c r="H106" s="39">
        <v>1</v>
      </c>
      <c r="I106" s="39"/>
      <c r="J106" s="39"/>
      <c r="K106" s="39"/>
      <c r="L106" s="39"/>
      <c r="M106" s="39"/>
      <c r="N106" s="39"/>
      <c r="O106" s="39"/>
      <c r="P106" s="39"/>
    </row>
    <row r="107" spans="1:16" x14ac:dyDescent="0.25">
      <c r="C107" s="3" t="s">
        <v>121</v>
      </c>
      <c r="D107" s="90">
        <v>1.68</v>
      </c>
      <c r="E107" s="90">
        <v>1.68</v>
      </c>
      <c r="F107" s="90">
        <v>1</v>
      </c>
      <c r="G107" s="90">
        <v>1</v>
      </c>
      <c r="H107" s="39">
        <v>1</v>
      </c>
      <c r="I107" s="39"/>
      <c r="J107" s="39"/>
      <c r="K107" s="39"/>
      <c r="L107" s="39"/>
      <c r="M107" s="39"/>
      <c r="N107" s="39"/>
      <c r="O107" s="39"/>
      <c r="P107" s="39"/>
    </row>
    <row r="108" spans="1:16" x14ac:dyDescent="0.25">
      <c r="C108" s="3" t="s">
        <v>122</v>
      </c>
      <c r="D108" s="90">
        <v>2.65</v>
      </c>
      <c r="E108" s="90">
        <v>2.65</v>
      </c>
      <c r="F108" s="90">
        <v>2.0699999999999998</v>
      </c>
      <c r="G108" s="90">
        <v>2.0699999999999998</v>
      </c>
      <c r="H108" s="39">
        <v>1</v>
      </c>
      <c r="I108" s="39"/>
      <c r="J108" s="39"/>
      <c r="K108" s="39"/>
      <c r="L108" s="39"/>
      <c r="M108" s="39"/>
      <c r="N108" s="39"/>
      <c r="O108" s="39"/>
      <c r="P108" s="39"/>
    </row>
    <row r="110" spans="1:16" s="93" customFormat="1" ht="13" customHeight="1" x14ac:dyDescent="0.3">
      <c r="A110" s="92" t="s">
        <v>235</v>
      </c>
      <c r="H110" s="92"/>
    </row>
    <row r="111" spans="1:16" ht="13" customHeight="1" x14ac:dyDescent="0.3">
      <c r="A111" s="67" t="s">
        <v>264</v>
      </c>
      <c r="B111" s="68"/>
      <c r="C111" s="68"/>
      <c r="D111" s="68"/>
      <c r="E111" s="68"/>
      <c r="F111" s="68"/>
      <c r="G111" s="68"/>
      <c r="H111" s="68"/>
    </row>
    <row r="112" spans="1:16" ht="13" customHeight="1" x14ac:dyDescent="0.3">
      <c r="A112" s="39" t="s">
        <v>225</v>
      </c>
      <c r="B112" s="1" t="s">
        <v>265</v>
      </c>
      <c r="C112" s="1" t="s">
        <v>266</v>
      </c>
      <c r="D112" s="70" t="s">
        <v>67</v>
      </c>
      <c r="E112" s="70" t="s">
        <v>77</v>
      </c>
      <c r="F112" s="70" t="s">
        <v>78</v>
      </c>
      <c r="G112" s="70" t="s">
        <v>79</v>
      </c>
      <c r="H112" s="70" t="s">
        <v>80</v>
      </c>
    </row>
    <row r="113" spans="1:8" ht="13" customHeight="1" x14ac:dyDescent="0.3">
      <c r="A113" s="4"/>
      <c r="B113" s="8" t="s">
        <v>81</v>
      </c>
      <c r="C113" s="3" t="s">
        <v>267</v>
      </c>
      <c r="D113" s="91">
        <f t="shared" ref="D113:H122" si="0">IF(D3=1,1,D3*0.9)</f>
        <v>1</v>
      </c>
      <c r="E113" s="91">
        <f t="shared" si="0"/>
        <v>1</v>
      </c>
      <c r="F113" s="91">
        <f t="shared" si="0"/>
        <v>1</v>
      </c>
      <c r="G113" s="91">
        <f t="shared" si="0"/>
        <v>1</v>
      </c>
      <c r="H113" s="91">
        <f t="shared" si="0"/>
        <v>1</v>
      </c>
    </row>
    <row r="114" spans="1:8" x14ac:dyDescent="0.25">
      <c r="C114" s="3" t="s">
        <v>268</v>
      </c>
      <c r="D114" s="91">
        <f t="shared" si="0"/>
        <v>1</v>
      </c>
      <c r="E114" s="91">
        <f t="shared" si="0"/>
        <v>1.5029999999999999</v>
      </c>
      <c r="F114" s="91">
        <f t="shared" si="0"/>
        <v>1.5029999999999999</v>
      </c>
      <c r="G114" s="91">
        <f t="shared" si="0"/>
        <v>1.5029999999999999</v>
      </c>
      <c r="H114" s="91">
        <f t="shared" si="0"/>
        <v>1.5029999999999999</v>
      </c>
    </row>
    <row r="115" spans="1:8" x14ac:dyDescent="0.25">
      <c r="C115" s="3" t="s">
        <v>269</v>
      </c>
      <c r="D115" s="91">
        <f t="shared" si="0"/>
        <v>1</v>
      </c>
      <c r="E115" s="91">
        <f t="shared" si="0"/>
        <v>2.1419999999999999</v>
      </c>
      <c r="F115" s="91">
        <f t="shared" si="0"/>
        <v>2.1419999999999999</v>
      </c>
      <c r="G115" s="91">
        <f t="shared" si="0"/>
        <v>2.1419999999999999</v>
      </c>
      <c r="H115" s="91">
        <f t="shared" si="0"/>
        <v>2.1419999999999999</v>
      </c>
    </row>
    <row r="116" spans="1:8" x14ac:dyDescent="0.25">
      <c r="C116" s="3" t="s">
        <v>270</v>
      </c>
      <c r="D116" s="91">
        <f t="shared" si="0"/>
        <v>1</v>
      </c>
      <c r="E116" s="91">
        <f t="shared" si="0"/>
        <v>5.6970000000000001</v>
      </c>
      <c r="F116" s="91">
        <f t="shared" si="0"/>
        <v>5.6970000000000001</v>
      </c>
      <c r="G116" s="91">
        <f t="shared" si="0"/>
        <v>5.6970000000000001</v>
      </c>
      <c r="H116" s="91">
        <f t="shared" si="0"/>
        <v>5.6970000000000001</v>
      </c>
    </row>
    <row r="117" spans="1:8" x14ac:dyDescent="0.25">
      <c r="B117" s="8" t="s">
        <v>82</v>
      </c>
      <c r="C117" s="3" t="s">
        <v>267</v>
      </c>
      <c r="D117" s="91">
        <f t="shared" si="0"/>
        <v>1</v>
      </c>
      <c r="E117" s="91">
        <f t="shared" si="0"/>
        <v>1</v>
      </c>
      <c r="F117" s="91">
        <f t="shared" si="0"/>
        <v>1</v>
      </c>
      <c r="G117" s="91">
        <f t="shared" si="0"/>
        <v>1</v>
      </c>
      <c r="H117" s="91">
        <f t="shared" si="0"/>
        <v>1</v>
      </c>
    </row>
    <row r="118" spans="1:8" x14ac:dyDescent="0.25">
      <c r="C118" s="3" t="s">
        <v>268</v>
      </c>
      <c r="D118" s="91">
        <f t="shared" si="0"/>
        <v>1</v>
      </c>
      <c r="E118" s="91">
        <f t="shared" si="0"/>
        <v>1.395</v>
      </c>
      <c r="F118" s="91">
        <f t="shared" si="0"/>
        <v>1.395</v>
      </c>
      <c r="G118" s="91">
        <f t="shared" si="0"/>
        <v>1.395</v>
      </c>
      <c r="H118" s="91">
        <f t="shared" si="0"/>
        <v>1.395</v>
      </c>
    </row>
    <row r="119" spans="1:8" x14ac:dyDescent="0.25">
      <c r="C119" s="3" t="s">
        <v>269</v>
      </c>
      <c r="D119" s="91">
        <f t="shared" si="0"/>
        <v>1</v>
      </c>
      <c r="E119" s="91">
        <f t="shared" si="0"/>
        <v>1.9620000000000002</v>
      </c>
      <c r="F119" s="91">
        <f t="shared" si="0"/>
        <v>1.9620000000000002</v>
      </c>
      <c r="G119" s="91">
        <f t="shared" si="0"/>
        <v>1.9620000000000002</v>
      </c>
      <c r="H119" s="91">
        <f t="shared" si="0"/>
        <v>1.9620000000000002</v>
      </c>
    </row>
    <row r="120" spans="1:8" x14ac:dyDescent="0.25">
      <c r="C120" s="3" t="s">
        <v>270</v>
      </c>
      <c r="D120" s="91">
        <f t="shared" si="0"/>
        <v>1</v>
      </c>
      <c r="E120" s="91">
        <f t="shared" si="0"/>
        <v>5.7509999999999994</v>
      </c>
      <c r="F120" s="91">
        <f t="shared" si="0"/>
        <v>5.7509999999999994</v>
      </c>
      <c r="G120" s="91">
        <f t="shared" si="0"/>
        <v>5.7509999999999994</v>
      </c>
      <c r="H120" s="91">
        <f t="shared" si="0"/>
        <v>5.7509999999999994</v>
      </c>
    </row>
    <row r="121" spans="1:8" x14ac:dyDescent="0.25">
      <c r="B121" s="8" t="s">
        <v>84</v>
      </c>
      <c r="C121" s="3" t="s">
        <v>267</v>
      </c>
      <c r="D121" s="91">
        <f t="shared" si="0"/>
        <v>1</v>
      </c>
      <c r="E121" s="91">
        <f t="shared" si="0"/>
        <v>1</v>
      </c>
      <c r="F121" s="91">
        <f t="shared" si="0"/>
        <v>1</v>
      </c>
      <c r="G121" s="91">
        <f t="shared" si="0"/>
        <v>1</v>
      </c>
      <c r="H121" s="91">
        <f t="shared" si="0"/>
        <v>1</v>
      </c>
    </row>
    <row r="122" spans="1:8" x14ac:dyDescent="0.25">
      <c r="C122" s="3" t="s">
        <v>268</v>
      </c>
      <c r="D122" s="91">
        <f t="shared" si="0"/>
        <v>1</v>
      </c>
      <c r="E122" s="91">
        <f t="shared" si="0"/>
        <v>1</v>
      </c>
      <c r="F122" s="91">
        <f t="shared" si="0"/>
        <v>1</v>
      </c>
      <c r="G122" s="91">
        <f t="shared" si="0"/>
        <v>1</v>
      </c>
      <c r="H122" s="91">
        <f t="shared" si="0"/>
        <v>1</v>
      </c>
    </row>
    <row r="123" spans="1:8" x14ac:dyDescent="0.25">
      <c r="C123" s="3" t="s">
        <v>269</v>
      </c>
      <c r="D123" s="91">
        <f t="shared" ref="D123:H132" si="1">IF(D13=1,1,D13*0.9)</f>
        <v>1</v>
      </c>
      <c r="E123" s="91">
        <f t="shared" si="1"/>
        <v>2.5110000000000001</v>
      </c>
      <c r="F123" s="91">
        <f t="shared" si="1"/>
        <v>2.5110000000000001</v>
      </c>
      <c r="G123" s="91">
        <f t="shared" si="1"/>
        <v>2.5110000000000001</v>
      </c>
      <c r="H123" s="91">
        <f t="shared" si="1"/>
        <v>2.5110000000000001</v>
      </c>
    </row>
    <row r="124" spans="1:8" x14ac:dyDescent="0.25">
      <c r="C124" s="3" t="s">
        <v>270</v>
      </c>
      <c r="D124" s="91">
        <f t="shared" si="1"/>
        <v>1</v>
      </c>
      <c r="E124" s="91">
        <f t="shared" si="1"/>
        <v>5.4089999999999998</v>
      </c>
      <c r="F124" s="91">
        <f t="shared" si="1"/>
        <v>5.4089999999999998</v>
      </c>
      <c r="G124" s="91">
        <f t="shared" si="1"/>
        <v>5.4089999999999998</v>
      </c>
      <c r="H124" s="91">
        <f t="shared" si="1"/>
        <v>5.4089999999999998</v>
      </c>
    </row>
    <row r="125" spans="1:8" x14ac:dyDescent="0.25">
      <c r="B125" s="8" t="s">
        <v>85</v>
      </c>
      <c r="C125" s="3" t="s">
        <v>267</v>
      </c>
      <c r="D125" s="91">
        <f t="shared" si="1"/>
        <v>1</v>
      </c>
      <c r="E125" s="91">
        <f t="shared" si="1"/>
        <v>1</v>
      </c>
      <c r="F125" s="91">
        <f t="shared" si="1"/>
        <v>1</v>
      </c>
      <c r="G125" s="91">
        <f t="shared" si="1"/>
        <v>1</v>
      </c>
      <c r="H125" s="91">
        <f t="shared" si="1"/>
        <v>1</v>
      </c>
    </row>
    <row r="126" spans="1:8" x14ac:dyDescent="0.25">
      <c r="C126" s="3" t="s">
        <v>268</v>
      </c>
      <c r="D126" s="91">
        <f t="shared" si="1"/>
        <v>1</v>
      </c>
      <c r="E126" s="91">
        <f t="shared" si="1"/>
        <v>1</v>
      </c>
      <c r="F126" s="91">
        <f t="shared" si="1"/>
        <v>1</v>
      </c>
      <c r="G126" s="91">
        <f t="shared" si="1"/>
        <v>1</v>
      </c>
      <c r="H126" s="91">
        <f t="shared" si="1"/>
        <v>1</v>
      </c>
    </row>
    <row r="127" spans="1:8" x14ac:dyDescent="0.25">
      <c r="C127" s="3" t="s">
        <v>269</v>
      </c>
      <c r="D127" s="91">
        <f t="shared" si="1"/>
        <v>1</v>
      </c>
      <c r="E127" s="91">
        <f t="shared" si="1"/>
        <v>1</v>
      </c>
      <c r="F127" s="91">
        <f t="shared" si="1"/>
        <v>1</v>
      </c>
      <c r="G127" s="91">
        <f t="shared" si="1"/>
        <v>1</v>
      </c>
      <c r="H127" s="91">
        <f t="shared" si="1"/>
        <v>1</v>
      </c>
    </row>
    <row r="128" spans="1:8" x14ac:dyDescent="0.25">
      <c r="C128" s="3" t="s">
        <v>270</v>
      </c>
      <c r="D128" s="91">
        <f t="shared" si="1"/>
        <v>1</v>
      </c>
      <c r="E128" s="91">
        <f t="shared" si="1"/>
        <v>1</v>
      </c>
      <c r="F128" s="91">
        <f t="shared" si="1"/>
        <v>1</v>
      </c>
      <c r="G128" s="91">
        <f t="shared" si="1"/>
        <v>1</v>
      </c>
      <c r="H128" s="91">
        <f t="shared" si="1"/>
        <v>1</v>
      </c>
    </row>
    <row r="129" spans="1:8" x14ac:dyDescent="0.25">
      <c r="B129" s="8" t="s">
        <v>83</v>
      </c>
      <c r="C129" s="3" t="s">
        <v>267</v>
      </c>
      <c r="D129" s="91">
        <f t="shared" si="1"/>
        <v>1</v>
      </c>
      <c r="E129" s="91">
        <f t="shared" si="1"/>
        <v>1</v>
      </c>
      <c r="F129" s="91">
        <f t="shared" si="1"/>
        <v>1</v>
      </c>
      <c r="G129" s="91">
        <f t="shared" si="1"/>
        <v>1</v>
      </c>
      <c r="H129" s="91">
        <f t="shared" si="1"/>
        <v>1</v>
      </c>
    </row>
    <row r="130" spans="1:8" x14ac:dyDescent="0.25">
      <c r="C130" s="3" t="s">
        <v>268</v>
      </c>
      <c r="D130" s="91">
        <f t="shared" si="1"/>
        <v>1</v>
      </c>
      <c r="E130" s="91">
        <f t="shared" si="1"/>
        <v>1</v>
      </c>
      <c r="F130" s="91">
        <f t="shared" si="1"/>
        <v>1</v>
      </c>
      <c r="G130" s="91">
        <f t="shared" si="1"/>
        <v>1</v>
      </c>
      <c r="H130" s="91">
        <f t="shared" si="1"/>
        <v>1</v>
      </c>
    </row>
    <row r="131" spans="1:8" x14ac:dyDescent="0.25">
      <c r="C131" s="3" t="s">
        <v>269</v>
      </c>
      <c r="D131" s="91">
        <f t="shared" si="1"/>
        <v>1</v>
      </c>
      <c r="E131" s="91">
        <f t="shared" si="1"/>
        <v>1.6740000000000002</v>
      </c>
      <c r="F131" s="91">
        <f t="shared" si="1"/>
        <v>1.6740000000000002</v>
      </c>
      <c r="G131" s="91">
        <f t="shared" si="1"/>
        <v>1.6740000000000002</v>
      </c>
      <c r="H131" s="91">
        <f t="shared" si="1"/>
        <v>1.6740000000000002</v>
      </c>
    </row>
    <row r="132" spans="1:8" x14ac:dyDescent="0.25">
      <c r="C132" s="3" t="s">
        <v>270</v>
      </c>
      <c r="D132" s="91">
        <f t="shared" si="1"/>
        <v>1</v>
      </c>
      <c r="E132" s="91">
        <f t="shared" si="1"/>
        <v>2.7090000000000001</v>
      </c>
      <c r="F132" s="91">
        <f t="shared" si="1"/>
        <v>2.7090000000000001</v>
      </c>
      <c r="G132" s="91">
        <f t="shared" si="1"/>
        <v>2.7090000000000001</v>
      </c>
      <c r="H132" s="91">
        <f t="shared" si="1"/>
        <v>2.7090000000000001</v>
      </c>
    </row>
    <row r="133" spans="1:8" x14ac:dyDescent="0.25">
      <c r="B133" s="8" t="s">
        <v>89</v>
      </c>
      <c r="C133" s="3" t="s">
        <v>267</v>
      </c>
      <c r="D133" s="91">
        <f t="shared" ref="D133:H142" si="2">IF(D23=1,1,D23*0.9)</f>
        <v>1</v>
      </c>
      <c r="E133" s="91">
        <f t="shared" si="2"/>
        <v>1</v>
      </c>
      <c r="F133" s="91">
        <f t="shared" si="2"/>
        <v>1</v>
      </c>
      <c r="G133" s="91">
        <f t="shared" si="2"/>
        <v>1</v>
      </c>
      <c r="H133" s="91">
        <f t="shared" si="2"/>
        <v>1</v>
      </c>
    </row>
    <row r="134" spans="1:8" x14ac:dyDescent="0.25">
      <c r="C134" s="3" t="s">
        <v>268</v>
      </c>
      <c r="D134" s="91">
        <f t="shared" si="2"/>
        <v>1</v>
      </c>
      <c r="E134" s="91">
        <f t="shared" si="2"/>
        <v>1</v>
      </c>
      <c r="F134" s="91">
        <f t="shared" si="2"/>
        <v>1</v>
      </c>
      <c r="G134" s="91">
        <f t="shared" si="2"/>
        <v>1</v>
      </c>
      <c r="H134" s="91">
        <f t="shared" si="2"/>
        <v>1</v>
      </c>
    </row>
    <row r="135" spans="1:8" x14ac:dyDescent="0.25">
      <c r="C135" s="3" t="s">
        <v>269</v>
      </c>
      <c r="D135" s="91">
        <f t="shared" si="2"/>
        <v>1</v>
      </c>
      <c r="E135" s="91">
        <f t="shared" si="2"/>
        <v>1.6740000000000002</v>
      </c>
      <c r="F135" s="91">
        <f t="shared" si="2"/>
        <v>1.6740000000000002</v>
      </c>
      <c r="G135" s="91">
        <f t="shared" si="2"/>
        <v>1.6740000000000002</v>
      </c>
      <c r="H135" s="91">
        <f t="shared" si="2"/>
        <v>1.6740000000000002</v>
      </c>
    </row>
    <row r="136" spans="1:8" x14ac:dyDescent="0.25">
      <c r="C136" s="3" t="s">
        <v>270</v>
      </c>
      <c r="D136" s="91">
        <f t="shared" si="2"/>
        <v>1</v>
      </c>
      <c r="E136" s="91">
        <f t="shared" si="2"/>
        <v>2.7090000000000001</v>
      </c>
      <c r="F136" s="91">
        <f t="shared" si="2"/>
        <v>2.7090000000000001</v>
      </c>
      <c r="G136" s="91">
        <f t="shared" si="2"/>
        <v>2.7090000000000001</v>
      </c>
      <c r="H136" s="91">
        <f t="shared" si="2"/>
        <v>2.7090000000000001</v>
      </c>
    </row>
    <row r="138" spans="1:8" ht="13" customHeight="1" x14ac:dyDescent="0.3">
      <c r="A138" s="67" t="s">
        <v>271</v>
      </c>
      <c r="B138" s="68"/>
      <c r="C138" s="68"/>
      <c r="D138" s="68"/>
      <c r="E138" s="68"/>
      <c r="F138" s="68"/>
      <c r="G138" s="68"/>
      <c r="H138" s="68"/>
    </row>
    <row r="139" spans="1:8" ht="13" customHeight="1" x14ac:dyDescent="0.3">
      <c r="A139" s="39" t="s">
        <v>272</v>
      </c>
      <c r="B139" s="4" t="s">
        <v>265</v>
      </c>
      <c r="C139" s="4" t="s">
        <v>273</v>
      </c>
      <c r="D139" s="70" t="s">
        <v>67</v>
      </c>
      <c r="E139" s="70" t="s">
        <v>77</v>
      </c>
      <c r="F139" s="70" t="s">
        <v>78</v>
      </c>
      <c r="G139" s="70" t="s">
        <v>79</v>
      </c>
      <c r="H139" s="70" t="s">
        <v>80</v>
      </c>
    </row>
    <row r="140" spans="1:8" ht="13" customHeight="1" x14ac:dyDescent="0.3">
      <c r="A140" s="4"/>
      <c r="B140" s="8" t="s">
        <v>81</v>
      </c>
      <c r="C140" s="3" t="s">
        <v>267</v>
      </c>
      <c r="D140" s="91">
        <f t="shared" ref="D140:H149" si="3">IF(D30=1,1,D30*0.9)</f>
        <v>1</v>
      </c>
      <c r="E140" s="91">
        <f t="shared" si="3"/>
        <v>1</v>
      </c>
      <c r="F140" s="91">
        <f t="shared" si="3"/>
        <v>1</v>
      </c>
      <c r="G140" s="91">
        <f t="shared" si="3"/>
        <v>1</v>
      </c>
      <c r="H140" s="91">
        <f t="shared" si="3"/>
        <v>1</v>
      </c>
    </row>
    <row r="141" spans="1:8" x14ac:dyDescent="0.25">
      <c r="C141" s="3" t="s">
        <v>268</v>
      </c>
      <c r="D141" s="91">
        <f t="shared" si="3"/>
        <v>1</v>
      </c>
      <c r="E141" s="91">
        <f t="shared" si="3"/>
        <v>1.4400000000000002</v>
      </c>
      <c r="F141" s="91">
        <f t="shared" si="3"/>
        <v>1.4400000000000002</v>
      </c>
      <c r="G141" s="91">
        <f t="shared" si="3"/>
        <v>1.4400000000000002</v>
      </c>
      <c r="H141" s="91">
        <f t="shared" si="3"/>
        <v>1.4400000000000002</v>
      </c>
    </row>
    <row r="142" spans="1:8" x14ac:dyDescent="0.25">
      <c r="C142" s="3" t="s">
        <v>204</v>
      </c>
      <c r="D142" s="91">
        <f t="shared" si="3"/>
        <v>1</v>
      </c>
      <c r="E142" s="91">
        <f t="shared" si="3"/>
        <v>3.0690000000000004</v>
      </c>
      <c r="F142" s="91">
        <f t="shared" si="3"/>
        <v>3.0690000000000004</v>
      </c>
      <c r="G142" s="91">
        <f t="shared" si="3"/>
        <v>3.0690000000000004</v>
      </c>
      <c r="H142" s="91">
        <f t="shared" si="3"/>
        <v>3.0690000000000004</v>
      </c>
    </row>
    <row r="143" spans="1:8" x14ac:dyDescent="0.25">
      <c r="C143" s="3" t="s">
        <v>205</v>
      </c>
      <c r="D143" s="91">
        <f t="shared" si="3"/>
        <v>1</v>
      </c>
      <c r="E143" s="91">
        <f t="shared" si="3"/>
        <v>11.097</v>
      </c>
      <c r="F143" s="91">
        <f t="shared" si="3"/>
        <v>11.097</v>
      </c>
      <c r="G143" s="91">
        <f t="shared" si="3"/>
        <v>11.097</v>
      </c>
      <c r="H143" s="91">
        <f t="shared" si="3"/>
        <v>11.097</v>
      </c>
    </row>
    <row r="144" spans="1:8" x14ac:dyDescent="0.25">
      <c r="B144" s="8" t="s">
        <v>82</v>
      </c>
      <c r="C144" s="3" t="s">
        <v>267</v>
      </c>
      <c r="D144" s="91">
        <f t="shared" si="3"/>
        <v>1</v>
      </c>
      <c r="E144" s="91">
        <f t="shared" si="3"/>
        <v>1</v>
      </c>
      <c r="F144" s="91">
        <f t="shared" si="3"/>
        <v>1</v>
      </c>
      <c r="G144" s="91">
        <f t="shared" si="3"/>
        <v>1</v>
      </c>
      <c r="H144" s="91">
        <f t="shared" si="3"/>
        <v>1</v>
      </c>
    </row>
    <row r="145" spans="2:8" x14ac:dyDescent="0.25">
      <c r="C145" s="3" t="s">
        <v>268</v>
      </c>
      <c r="D145" s="91">
        <f t="shared" si="3"/>
        <v>1</v>
      </c>
      <c r="E145" s="91">
        <f t="shared" si="3"/>
        <v>1.728</v>
      </c>
      <c r="F145" s="91">
        <f t="shared" si="3"/>
        <v>1.728</v>
      </c>
      <c r="G145" s="91">
        <f t="shared" si="3"/>
        <v>1.728</v>
      </c>
      <c r="H145" s="91">
        <f t="shared" si="3"/>
        <v>1.728</v>
      </c>
    </row>
    <row r="146" spans="2:8" x14ac:dyDescent="0.25">
      <c r="C146" s="3" t="s">
        <v>204</v>
      </c>
      <c r="D146" s="91">
        <f t="shared" si="3"/>
        <v>1</v>
      </c>
      <c r="E146" s="91">
        <f t="shared" si="3"/>
        <v>4.194</v>
      </c>
      <c r="F146" s="91">
        <f t="shared" si="3"/>
        <v>4.194</v>
      </c>
      <c r="G146" s="91">
        <f t="shared" si="3"/>
        <v>4.194</v>
      </c>
      <c r="H146" s="91">
        <f t="shared" si="3"/>
        <v>4.194</v>
      </c>
    </row>
    <row r="147" spans="2:8" x14ac:dyDescent="0.25">
      <c r="C147" s="3" t="s">
        <v>205</v>
      </c>
      <c r="D147" s="91">
        <f t="shared" si="3"/>
        <v>1</v>
      </c>
      <c r="E147" s="91">
        <f t="shared" si="3"/>
        <v>8.7119999999999997</v>
      </c>
      <c r="F147" s="91">
        <f t="shared" si="3"/>
        <v>8.7119999999999997</v>
      </c>
      <c r="G147" s="91">
        <f t="shared" si="3"/>
        <v>8.7119999999999997</v>
      </c>
      <c r="H147" s="91">
        <f t="shared" si="3"/>
        <v>8.7119999999999997</v>
      </c>
    </row>
    <row r="148" spans="2:8" x14ac:dyDescent="0.25">
      <c r="B148" s="8" t="s">
        <v>84</v>
      </c>
      <c r="C148" s="3" t="s">
        <v>267</v>
      </c>
      <c r="D148" s="91">
        <f t="shared" si="3"/>
        <v>1</v>
      </c>
      <c r="E148" s="91">
        <f t="shared" si="3"/>
        <v>1</v>
      </c>
      <c r="F148" s="91">
        <f t="shared" si="3"/>
        <v>1</v>
      </c>
      <c r="G148" s="91">
        <f t="shared" si="3"/>
        <v>1</v>
      </c>
      <c r="H148" s="91">
        <f t="shared" si="3"/>
        <v>1</v>
      </c>
    </row>
    <row r="149" spans="2:8" x14ac:dyDescent="0.25">
      <c r="C149" s="3" t="s">
        <v>268</v>
      </c>
      <c r="D149" s="91">
        <f t="shared" si="3"/>
        <v>1</v>
      </c>
      <c r="E149" s="91">
        <f t="shared" si="3"/>
        <v>1</v>
      </c>
      <c r="F149" s="91">
        <f t="shared" si="3"/>
        <v>1</v>
      </c>
      <c r="G149" s="91">
        <f t="shared" si="3"/>
        <v>1</v>
      </c>
      <c r="H149" s="91">
        <f t="shared" si="3"/>
        <v>1</v>
      </c>
    </row>
    <row r="150" spans="2:8" x14ac:dyDescent="0.25">
      <c r="C150" s="3" t="s">
        <v>204</v>
      </c>
      <c r="D150" s="91">
        <f t="shared" ref="D150:H159" si="4">IF(D40=1,1,D40*0.9)</f>
        <v>1</v>
      </c>
      <c r="E150" s="91">
        <f t="shared" si="4"/>
        <v>2.3220000000000001</v>
      </c>
      <c r="F150" s="91">
        <f t="shared" si="4"/>
        <v>2.3220000000000001</v>
      </c>
      <c r="G150" s="91">
        <f t="shared" si="4"/>
        <v>2.3220000000000001</v>
      </c>
      <c r="H150" s="91">
        <f t="shared" si="4"/>
        <v>2.3220000000000001</v>
      </c>
    </row>
    <row r="151" spans="2:8" x14ac:dyDescent="0.25">
      <c r="C151" s="3" t="s">
        <v>205</v>
      </c>
      <c r="D151" s="91">
        <f t="shared" si="4"/>
        <v>1</v>
      </c>
      <c r="E151" s="91">
        <f t="shared" si="4"/>
        <v>8.6670000000000016</v>
      </c>
      <c r="F151" s="91">
        <f t="shared" si="4"/>
        <v>8.6670000000000016</v>
      </c>
      <c r="G151" s="91">
        <f t="shared" si="4"/>
        <v>8.6670000000000016</v>
      </c>
      <c r="H151" s="91">
        <f t="shared" si="4"/>
        <v>8.6670000000000016</v>
      </c>
    </row>
    <row r="152" spans="2:8" x14ac:dyDescent="0.25">
      <c r="B152" s="8" t="s">
        <v>85</v>
      </c>
      <c r="C152" s="3" t="s">
        <v>267</v>
      </c>
      <c r="D152" s="91">
        <f t="shared" si="4"/>
        <v>1</v>
      </c>
      <c r="E152" s="91">
        <f t="shared" si="4"/>
        <v>1</v>
      </c>
      <c r="F152" s="91">
        <f t="shared" si="4"/>
        <v>1</v>
      </c>
      <c r="G152" s="91">
        <f t="shared" si="4"/>
        <v>1</v>
      </c>
      <c r="H152" s="91">
        <f t="shared" si="4"/>
        <v>1</v>
      </c>
    </row>
    <row r="153" spans="2:8" x14ac:dyDescent="0.25">
      <c r="C153" s="3" t="s">
        <v>268</v>
      </c>
      <c r="D153" s="91">
        <f t="shared" si="4"/>
        <v>1</v>
      </c>
      <c r="E153" s="91">
        <f t="shared" si="4"/>
        <v>1</v>
      </c>
      <c r="F153" s="91">
        <f t="shared" si="4"/>
        <v>1</v>
      </c>
      <c r="G153" s="91">
        <f t="shared" si="4"/>
        <v>1</v>
      </c>
      <c r="H153" s="91">
        <f t="shared" si="4"/>
        <v>1</v>
      </c>
    </row>
    <row r="154" spans="2:8" x14ac:dyDescent="0.25">
      <c r="C154" s="3" t="s">
        <v>204</v>
      </c>
      <c r="D154" s="91">
        <f t="shared" si="4"/>
        <v>1</v>
      </c>
      <c r="E154" s="91">
        <f t="shared" si="4"/>
        <v>1</v>
      </c>
      <c r="F154" s="91">
        <f t="shared" si="4"/>
        <v>1</v>
      </c>
      <c r="G154" s="91">
        <f t="shared" si="4"/>
        <v>1</v>
      </c>
      <c r="H154" s="91">
        <f t="shared" si="4"/>
        <v>1</v>
      </c>
    </row>
    <row r="155" spans="2:8" x14ac:dyDescent="0.25">
      <c r="C155" s="3" t="s">
        <v>205</v>
      </c>
      <c r="D155" s="91">
        <f t="shared" si="4"/>
        <v>1</v>
      </c>
      <c r="E155" s="91">
        <f t="shared" si="4"/>
        <v>1</v>
      </c>
      <c r="F155" s="91">
        <f t="shared" si="4"/>
        <v>1</v>
      </c>
      <c r="G155" s="91">
        <f t="shared" si="4"/>
        <v>1</v>
      </c>
      <c r="H155" s="91">
        <f t="shared" si="4"/>
        <v>1</v>
      </c>
    </row>
    <row r="156" spans="2:8" x14ac:dyDescent="0.25">
      <c r="B156" s="8" t="s">
        <v>83</v>
      </c>
      <c r="C156" s="3" t="s">
        <v>267</v>
      </c>
      <c r="D156" s="91">
        <f t="shared" si="4"/>
        <v>1</v>
      </c>
      <c r="E156" s="91">
        <f t="shared" si="4"/>
        <v>1</v>
      </c>
      <c r="F156" s="91">
        <f t="shared" si="4"/>
        <v>1</v>
      </c>
      <c r="G156" s="91">
        <f t="shared" si="4"/>
        <v>1</v>
      </c>
      <c r="H156" s="91">
        <f t="shared" si="4"/>
        <v>1</v>
      </c>
    </row>
    <row r="157" spans="2:8" x14ac:dyDescent="0.25">
      <c r="C157" s="3" t="s">
        <v>268</v>
      </c>
      <c r="D157" s="91">
        <f t="shared" si="4"/>
        <v>1</v>
      </c>
      <c r="E157" s="91">
        <f t="shared" si="4"/>
        <v>1.4849999999999999</v>
      </c>
      <c r="F157" s="91">
        <f t="shared" si="4"/>
        <v>1.4849999999999999</v>
      </c>
      <c r="G157" s="91">
        <f t="shared" si="4"/>
        <v>1.4849999999999999</v>
      </c>
      <c r="H157" s="91">
        <f t="shared" si="4"/>
        <v>1.4849999999999999</v>
      </c>
    </row>
    <row r="158" spans="2:8" x14ac:dyDescent="0.25">
      <c r="C158" s="3" t="s">
        <v>204</v>
      </c>
      <c r="D158" s="91">
        <f t="shared" si="4"/>
        <v>1</v>
      </c>
      <c r="E158" s="91">
        <f t="shared" si="4"/>
        <v>2.4569999999999999</v>
      </c>
      <c r="F158" s="91">
        <f t="shared" si="4"/>
        <v>2.4569999999999999</v>
      </c>
      <c r="G158" s="91">
        <f t="shared" si="4"/>
        <v>2.4569999999999999</v>
      </c>
      <c r="H158" s="91">
        <f t="shared" si="4"/>
        <v>2.4569999999999999</v>
      </c>
    </row>
    <row r="159" spans="2:8" x14ac:dyDescent="0.25">
      <c r="C159" s="3" t="s">
        <v>205</v>
      </c>
      <c r="D159" s="91">
        <f t="shared" si="4"/>
        <v>1</v>
      </c>
      <c r="E159" s="91">
        <f t="shared" si="4"/>
        <v>10.089</v>
      </c>
      <c r="F159" s="91">
        <f t="shared" si="4"/>
        <v>10.089</v>
      </c>
      <c r="G159" s="91">
        <f t="shared" si="4"/>
        <v>10.089</v>
      </c>
      <c r="H159" s="91">
        <f t="shared" si="4"/>
        <v>10.089</v>
      </c>
    </row>
    <row r="160" spans="2:8" x14ac:dyDescent="0.25">
      <c r="B160" s="8" t="s">
        <v>89</v>
      </c>
      <c r="C160" s="3" t="s">
        <v>267</v>
      </c>
      <c r="D160" s="91">
        <f t="shared" ref="D160:H169" si="5">IF(D50=1,1,D50*0.9)</f>
        <v>1</v>
      </c>
      <c r="E160" s="91">
        <f t="shared" si="5"/>
        <v>1</v>
      </c>
      <c r="F160" s="91">
        <f t="shared" si="5"/>
        <v>1</v>
      </c>
      <c r="G160" s="91">
        <f t="shared" si="5"/>
        <v>1</v>
      </c>
      <c r="H160" s="91">
        <f t="shared" si="5"/>
        <v>1</v>
      </c>
    </row>
    <row r="161" spans="1:8" x14ac:dyDescent="0.25">
      <c r="C161" s="3" t="s">
        <v>268</v>
      </c>
      <c r="D161" s="91">
        <f t="shared" si="5"/>
        <v>1</v>
      </c>
      <c r="E161" s="91">
        <f t="shared" si="5"/>
        <v>1.4849999999999999</v>
      </c>
      <c r="F161" s="91">
        <f t="shared" si="5"/>
        <v>1.4849999999999999</v>
      </c>
      <c r="G161" s="91">
        <f t="shared" si="5"/>
        <v>1.4849999999999999</v>
      </c>
      <c r="H161" s="91">
        <f t="shared" si="5"/>
        <v>1.4849999999999999</v>
      </c>
    </row>
    <row r="162" spans="1:8" x14ac:dyDescent="0.25">
      <c r="C162" s="3" t="s">
        <v>204</v>
      </c>
      <c r="D162" s="91">
        <f t="shared" si="5"/>
        <v>1</v>
      </c>
      <c r="E162" s="91">
        <f t="shared" si="5"/>
        <v>2.4569999999999999</v>
      </c>
      <c r="F162" s="91">
        <f t="shared" si="5"/>
        <v>2.4569999999999999</v>
      </c>
      <c r="G162" s="91">
        <f t="shared" si="5"/>
        <v>2.4569999999999999</v>
      </c>
      <c r="H162" s="91">
        <f t="shared" si="5"/>
        <v>2.4569999999999999</v>
      </c>
    </row>
    <row r="163" spans="1:8" x14ac:dyDescent="0.25">
      <c r="C163" s="3" t="s">
        <v>205</v>
      </c>
      <c r="D163" s="91">
        <f t="shared" si="5"/>
        <v>1</v>
      </c>
      <c r="E163" s="91">
        <f t="shared" si="5"/>
        <v>10.089</v>
      </c>
      <c r="F163" s="91">
        <f t="shared" si="5"/>
        <v>10.089</v>
      </c>
      <c r="G163" s="91">
        <f t="shared" si="5"/>
        <v>10.089</v>
      </c>
      <c r="H163" s="91">
        <f t="shared" si="5"/>
        <v>10.089</v>
      </c>
    </row>
    <row r="164" spans="1:8" x14ac:dyDescent="0.25">
      <c r="C164" s="3"/>
      <c r="D164" s="3"/>
    </row>
    <row r="165" spans="1:8" ht="13" customHeight="1" x14ac:dyDescent="0.3">
      <c r="A165" s="67" t="s">
        <v>274</v>
      </c>
      <c r="B165" s="68"/>
      <c r="C165" s="68"/>
      <c r="D165" s="68"/>
      <c r="E165" s="68"/>
      <c r="F165" s="68"/>
      <c r="G165" s="68"/>
      <c r="H165" s="68"/>
    </row>
    <row r="166" spans="1:8" ht="26" customHeight="1" x14ac:dyDescent="0.3">
      <c r="A166" s="39" t="s">
        <v>111</v>
      </c>
      <c r="B166" s="4" t="s">
        <v>265</v>
      </c>
      <c r="C166" s="69" t="s">
        <v>275</v>
      </c>
      <c r="D166" s="70" t="s">
        <v>112</v>
      </c>
      <c r="E166" s="70" t="s">
        <v>113</v>
      </c>
      <c r="F166" s="70" t="s">
        <v>114</v>
      </c>
      <c r="G166" s="70" t="s">
        <v>115</v>
      </c>
      <c r="H166" s="79"/>
    </row>
    <row r="167" spans="1:8" ht="13" customHeight="1" x14ac:dyDescent="0.3">
      <c r="A167" s="4"/>
      <c r="B167" s="8" t="s">
        <v>91</v>
      </c>
      <c r="C167" s="3" t="s">
        <v>276</v>
      </c>
      <c r="D167" s="91">
        <f t="shared" ref="D167:G172" si="6">IF(D57=1,1,D57*0.9)</f>
        <v>1</v>
      </c>
      <c r="E167" s="91">
        <f t="shared" si="6"/>
        <v>1</v>
      </c>
      <c r="F167" s="91">
        <f t="shared" si="6"/>
        <v>1</v>
      </c>
      <c r="G167" s="91">
        <f t="shared" si="6"/>
        <v>1</v>
      </c>
      <c r="H167" s="39"/>
    </row>
    <row r="168" spans="1:8" x14ac:dyDescent="0.25">
      <c r="C168" s="3" t="s">
        <v>277</v>
      </c>
      <c r="D168" s="91">
        <f t="shared" si="6"/>
        <v>9.6075000000000017</v>
      </c>
      <c r="E168" s="91">
        <f t="shared" si="6"/>
        <v>9.6075000000000017</v>
      </c>
      <c r="F168" s="91">
        <f t="shared" si="6"/>
        <v>9.6075000000000017</v>
      </c>
      <c r="G168" s="91">
        <f t="shared" si="6"/>
        <v>9.6075000000000017</v>
      </c>
      <c r="H168" s="39"/>
    </row>
    <row r="169" spans="1:8" x14ac:dyDescent="0.25">
      <c r="B169" s="8" t="s">
        <v>92</v>
      </c>
      <c r="C169" s="3" t="s">
        <v>276</v>
      </c>
      <c r="D169" s="91">
        <f t="shared" si="6"/>
        <v>1</v>
      </c>
      <c r="E169" s="91">
        <f t="shared" si="6"/>
        <v>1</v>
      </c>
      <c r="F169" s="91">
        <f t="shared" si="6"/>
        <v>1</v>
      </c>
      <c r="G169" s="91">
        <f t="shared" si="6"/>
        <v>1</v>
      </c>
      <c r="H169" s="39"/>
    </row>
    <row r="170" spans="1:8" x14ac:dyDescent="0.25">
      <c r="C170" s="3" t="s">
        <v>277</v>
      </c>
      <c r="D170" s="91">
        <f t="shared" si="6"/>
        <v>9.6075000000000017</v>
      </c>
      <c r="E170" s="91">
        <f t="shared" si="6"/>
        <v>9.6075000000000017</v>
      </c>
      <c r="F170" s="91">
        <f t="shared" si="6"/>
        <v>9.6075000000000017</v>
      </c>
      <c r="G170" s="91">
        <f t="shared" si="6"/>
        <v>9.6075000000000017</v>
      </c>
      <c r="H170" s="39"/>
    </row>
    <row r="171" spans="1:8" x14ac:dyDescent="0.25">
      <c r="B171" s="8" t="s">
        <v>93</v>
      </c>
      <c r="C171" s="3" t="s">
        <v>276</v>
      </c>
      <c r="D171" s="91">
        <f t="shared" si="6"/>
        <v>1</v>
      </c>
      <c r="E171" s="91">
        <f t="shared" si="6"/>
        <v>1</v>
      </c>
      <c r="F171" s="91">
        <f t="shared" si="6"/>
        <v>1</v>
      </c>
      <c r="G171" s="91">
        <f t="shared" si="6"/>
        <v>1</v>
      </c>
      <c r="H171" s="39"/>
    </row>
    <row r="172" spans="1:8" x14ac:dyDescent="0.25">
      <c r="C172" s="3" t="s">
        <v>277</v>
      </c>
      <c r="D172" s="91">
        <f t="shared" si="6"/>
        <v>9.6075000000000017</v>
      </c>
      <c r="E172" s="91">
        <f t="shared" si="6"/>
        <v>9.6075000000000017</v>
      </c>
      <c r="F172" s="91">
        <f t="shared" si="6"/>
        <v>9.6075000000000017</v>
      </c>
      <c r="G172" s="91">
        <f t="shared" si="6"/>
        <v>9.6075000000000017</v>
      </c>
      <c r="H172" s="39"/>
    </row>
    <row r="173" spans="1:8" x14ac:dyDescent="0.25">
      <c r="C173" s="3"/>
      <c r="D173" s="3"/>
    </row>
    <row r="174" spans="1:8" ht="13" customHeight="1" x14ac:dyDescent="0.3">
      <c r="A174" s="67" t="s">
        <v>278</v>
      </c>
      <c r="B174" s="68"/>
      <c r="C174" s="68"/>
      <c r="D174" s="68"/>
      <c r="E174" s="68"/>
      <c r="F174" s="68"/>
      <c r="G174" s="68"/>
      <c r="H174" s="68"/>
    </row>
    <row r="175" spans="1:8" ht="26" customHeight="1" x14ac:dyDescent="0.3">
      <c r="A175" s="39" t="s">
        <v>118</v>
      </c>
      <c r="B175" s="4" t="s">
        <v>265</v>
      </c>
      <c r="C175" s="69" t="s">
        <v>279</v>
      </c>
      <c r="D175" s="70" t="s">
        <v>67</v>
      </c>
      <c r="E175" s="70" t="s">
        <v>77</v>
      </c>
      <c r="F175" s="70" t="s">
        <v>78</v>
      </c>
      <c r="G175" s="70" t="s">
        <v>79</v>
      </c>
      <c r="H175" s="81" t="s">
        <v>80</v>
      </c>
    </row>
    <row r="176" spans="1:8" ht="13" customHeight="1" x14ac:dyDescent="0.3">
      <c r="A176" s="82"/>
      <c r="B176" s="8" t="s">
        <v>68</v>
      </c>
      <c r="C176" s="3" t="s">
        <v>119</v>
      </c>
      <c r="D176" s="91">
        <f t="shared" ref="D176:G195" si="7">IF(D66=1,1,D66*0.9)</f>
        <v>1.2150000000000001</v>
      </c>
      <c r="E176" s="91">
        <f t="shared" si="7"/>
        <v>1</v>
      </c>
      <c r="F176" s="91">
        <f t="shared" si="7"/>
        <v>1</v>
      </c>
      <c r="G176" s="91">
        <f t="shared" si="7"/>
        <v>1</v>
      </c>
      <c r="H176" s="39">
        <v>0.9</v>
      </c>
    </row>
    <row r="177" spans="2:8" x14ac:dyDescent="0.25">
      <c r="C177" s="3" t="s">
        <v>120</v>
      </c>
      <c r="D177" s="91">
        <f t="shared" si="7"/>
        <v>1.2150000000000001</v>
      </c>
      <c r="E177" s="91">
        <f t="shared" si="7"/>
        <v>1</v>
      </c>
      <c r="F177" s="91">
        <f t="shared" si="7"/>
        <v>1</v>
      </c>
      <c r="G177" s="91">
        <f t="shared" si="7"/>
        <v>1</v>
      </c>
      <c r="H177" s="39">
        <v>0.9</v>
      </c>
    </row>
    <row r="178" spans="2:8" x14ac:dyDescent="0.25">
      <c r="C178" s="3" t="s">
        <v>121</v>
      </c>
      <c r="D178" s="91">
        <f t="shared" si="7"/>
        <v>1.2150000000000001</v>
      </c>
      <c r="E178" s="91">
        <f t="shared" si="7"/>
        <v>1</v>
      </c>
      <c r="F178" s="91">
        <f t="shared" si="7"/>
        <v>1</v>
      </c>
      <c r="G178" s="91">
        <f t="shared" si="7"/>
        <v>1</v>
      </c>
      <c r="H178" s="39">
        <v>0.9</v>
      </c>
    </row>
    <row r="179" spans="2:8" x14ac:dyDescent="0.25">
      <c r="C179" s="3" t="s">
        <v>122</v>
      </c>
      <c r="D179" s="91">
        <f t="shared" si="7"/>
        <v>4.8600000000000003</v>
      </c>
      <c r="E179" s="91">
        <f t="shared" si="7"/>
        <v>1</v>
      </c>
      <c r="F179" s="91">
        <f t="shared" si="7"/>
        <v>1</v>
      </c>
      <c r="G179" s="91">
        <f t="shared" si="7"/>
        <v>1</v>
      </c>
      <c r="H179" s="39">
        <v>0.9</v>
      </c>
    </row>
    <row r="180" spans="2:8" x14ac:dyDescent="0.25">
      <c r="B180" s="8" t="s">
        <v>69</v>
      </c>
      <c r="C180" s="3" t="s">
        <v>119</v>
      </c>
      <c r="D180" s="91">
        <f t="shared" si="7"/>
        <v>1.2150000000000001</v>
      </c>
      <c r="E180" s="91">
        <f t="shared" si="7"/>
        <v>1</v>
      </c>
      <c r="F180" s="91">
        <f t="shared" si="7"/>
        <v>1</v>
      </c>
      <c r="G180" s="91">
        <f t="shared" si="7"/>
        <v>1</v>
      </c>
      <c r="H180" s="39">
        <v>0.9</v>
      </c>
    </row>
    <row r="181" spans="2:8" x14ac:dyDescent="0.25">
      <c r="C181" s="3" t="s">
        <v>120</v>
      </c>
      <c r="D181" s="91">
        <f t="shared" si="7"/>
        <v>1.2150000000000001</v>
      </c>
      <c r="E181" s="91">
        <f t="shared" si="7"/>
        <v>1</v>
      </c>
      <c r="F181" s="91">
        <f t="shared" si="7"/>
        <v>1</v>
      </c>
      <c r="G181" s="91">
        <f t="shared" si="7"/>
        <v>1</v>
      </c>
      <c r="H181" s="39">
        <v>0.9</v>
      </c>
    </row>
    <row r="182" spans="2:8" x14ac:dyDescent="0.25">
      <c r="C182" s="3" t="s">
        <v>121</v>
      </c>
      <c r="D182" s="91">
        <f t="shared" si="7"/>
        <v>1.2150000000000001</v>
      </c>
      <c r="E182" s="91">
        <f t="shared" si="7"/>
        <v>1</v>
      </c>
      <c r="F182" s="91">
        <f t="shared" si="7"/>
        <v>1</v>
      </c>
      <c r="G182" s="91">
        <f t="shared" si="7"/>
        <v>1</v>
      </c>
      <c r="H182" s="39">
        <v>0.9</v>
      </c>
    </row>
    <row r="183" spans="2:8" x14ac:dyDescent="0.25">
      <c r="C183" s="3" t="s">
        <v>122</v>
      </c>
      <c r="D183" s="91">
        <f t="shared" si="7"/>
        <v>4.8600000000000003</v>
      </c>
      <c r="E183" s="91">
        <f t="shared" si="7"/>
        <v>1</v>
      </c>
      <c r="F183" s="91">
        <f t="shared" si="7"/>
        <v>1</v>
      </c>
      <c r="G183" s="91">
        <f t="shared" si="7"/>
        <v>1</v>
      </c>
      <c r="H183" s="39">
        <v>0.9</v>
      </c>
    </row>
    <row r="184" spans="2:8" x14ac:dyDescent="0.25">
      <c r="B184" s="8" t="s">
        <v>70</v>
      </c>
      <c r="C184" s="3" t="s">
        <v>119</v>
      </c>
      <c r="D184" s="91">
        <f t="shared" si="7"/>
        <v>1.2150000000000001</v>
      </c>
      <c r="E184" s="91">
        <f t="shared" si="7"/>
        <v>1</v>
      </c>
      <c r="F184" s="91">
        <f t="shared" si="7"/>
        <v>1</v>
      </c>
      <c r="G184" s="91">
        <f t="shared" si="7"/>
        <v>1</v>
      </c>
      <c r="H184" s="39">
        <v>0.9</v>
      </c>
    </row>
    <row r="185" spans="2:8" x14ac:dyDescent="0.25">
      <c r="C185" s="3" t="s">
        <v>120</v>
      </c>
      <c r="D185" s="91">
        <f t="shared" si="7"/>
        <v>1.2150000000000001</v>
      </c>
      <c r="E185" s="91">
        <f t="shared" si="7"/>
        <v>1</v>
      </c>
      <c r="F185" s="91">
        <f t="shared" si="7"/>
        <v>1</v>
      </c>
      <c r="G185" s="91">
        <f t="shared" si="7"/>
        <v>1</v>
      </c>
      <c r="H185" s="39">
        <v>0.9</v>
      </c>
    </row>
    <row r="186" spans="2:8" x14ac:dyDescent="0.25">
      <c r="C186" s="3" t="s">
        <v>121</v>
      </c>
      <c r="D186" s="91">
        <f t="shared" si="7"/>
        <v>1.2150000000000001</v>
      </c>
      <c r="E186" s="91">
        <f t="shared" si="7"/>
        <v>1</v>
      </c>
      <c r="F186" s="91">
        <f t="shared" si="7"/>
        <v>1</v>
      </c>
      <c r="G186" s="91">
        <f t="shared" si="7"/>
        <v>1</v>
      </c>
      <c r="H186" s="39">
        <v>0.9</v>
      </c>
    </row>
    <row r="187" spans="2:8" x14ac:dyDescent="0.25">
      <c r="C187" s="3" t="s">
        <v>122</v>
      </c>
      <c r="D187" s="91">
        <f t="shared" si="7"/>
        <v>4.8600000000000003</v>
      </c>
      <c r="E187" s="91">
        <f t="shared" si="7"/>
        <v>1</v>
      </c>
      <c r="F187" s="91">
        <f t="shared" si="7"/>
        <v>1</v>
      </c>
      <c r="G187" s="91">
        <f t="shared" si="7"/>
        <v>1</v>
      </c>
      <c r="H187" s="39">
        <v>0.9</v>
      </c>
    </row>
    <row r="188" spans="2:8" x14ac:dyDescent="0.25">
      <c r="B188" s="8" t="s">
        <v>72</v>
      </c>
      <c r="C188" s="3" t="s">
        <v>119</v>
      </c>
      <c r="D188" s="91">
        <f t="shared" si="7"/>
        <v>1</v>
      </c>
      <c r="E188" s="91">
        <f t="shared" si="7"/>
        <v>1</v>
      </c>
      <c r="F188" s="91">
        <f t="shared" si="7"/>
        <v>1</v>
      </c>
      <c r="G188" s="91">
        <f t="shared" si="7"/>
        <v>1</v>
      </c>
      <c r="H188" s="39">
        <v>0.9</v>
      </c>
    </row>
    <row r="189" spans="2:8" x14ac:dyDescent="0.25">
      <c r="C189" s="3" t="s">
        <v>120</v>
      </c>
      <c r="D189" s="91">
        <f t="shared" si="7"/>
        <v>1</v>
      </c>
      <c r="E189" s="91">
        <f t="shared" si="7"/>
        <v>1</v>
      </c>
      <c r="F189" s="91">
        <f t="shared" si="7"/>
        <v>1</v>
      </c>
      <c r="G189" s="91">
        <f t="shared" si="7"/>
        <v>1</v>
      </c>
      <c r="H189" s="39">
        <v>0.9</v>
      </c>
    </row>
    <row r="190" spans="2:8" x14ac:dyDescent="0.25">
      <c r="C190" s="3" t="s">
        <v>121</v>
      </c>
      <c r="D190" s="91">
        <f t="shared" si="7"/>
        <v>1</v>
      </c>
      <c r="E190" s="91">
        <f t="shared" si="7"/>
        <v>1</v>
      </c>
      <c r="F190" s="91">
        <f t="shared" si="7"/>
        <v>1</v>
      </c>
      <c r="G190" s="91">
        <f t="shared" si="7"/>
        <v>1</v>
      </c>
      <c r="H190" s="39">
        <v>0.9</v>
      </c>
    </row>
    <row r="191" spans="2:8" x14ac:dyDescent="0.25">
      <c r="C191" s="3" t="s">
        <v>122</v>
      </c>
      <c r="D191" s="91">
        <f t="shared" si="7"/>
        <v>1</v>
      </c>
      <c r="E191" s="91">
        <f t="shared" si="7"/>
        <v>1</v>
      </c>
      <c r="F191" s="91">
        <f t="shared" si="7"/>
        <v>1</v>
      </c>
      <c r="G191" s="91">
        <f t="shared" si="7"/>
        <v>1</v>
      </c>
      <c r="H191" s="39">
        <v>0.9</v>
      </c>
    </row>
    <row r="192" spans="2:8" x14ac:dyDescent="0.25">
      <c r="B192" s="8" t="s">
        <v>81</v>
      </c>
      <c r="C192" s="3" t="s">
        <v>119</v>
      </c>
      <c r="D192" s="91">
        <f t="shared" si="7"/>
        <v>1</v>
      </c>
      <c r="E192" s="91">
        <f t="shared" si="7"/>
        <v>1</v>
      </c>
      <c r="F192" s="91">
        <f t="shared" si="7"/>
        <v>1</v>
      </c>
      <c r="G192" s="91">
        <f t="shared" si="7"/>
        <v>1</v>
      </c>
      <c r="H192" s="39">
        <v>0.9</v>
      </c>
    </row>
    <row r="193" spans="2:8" x14ac:dyDescent="0.25">
      <c r="C193" s="3" t="s">
        <v>120</v>
      </c>
      <c r="D193" s="91">
        <f t="shared" si="7"/>
        <v>1</v>
      </c>
      <c r="E193" s="91">
        <f t="shared" si="7"/>
        <v>2.052</v>
      </c>
      <c r="F193" s="91">
        <f t="shared" si="7"/>
        <v>1</v>
      </c>
      <c r="G193" s="91">
        <f t="shared" si="7"/>
        <v>1</v>
      </c>
      <c r="H193" s="39">
        <v>0.9</v>
      </c>
    </row>
    <row r="194" spans="2:8" x14ac:dyDescent="0.25">
      <c r="C194" s="3" t="s">
        <v>121</v>
      </c>
      <c r="D194" s="91">
        <f t="shared" si="7"/>
        <v>1</v>
      </c>
      <c r="E194" s="91">
        <f t="shared" si="7"/>
        <v>4.1580000000000004</v>
      </c>
      <c r="F194" s="91">
        <f t="shared" si="7"/>
        <v>1</v>
      </c>
      <c r="G194" s="91">
        <f t="shared" si="7"/>
        <v>1</v>
      </c>
      <c r="H194" s="39">
        <v>0.9</v>
      </c>
    </row>
    <row r="195" spans="2:8" x14ac:dyDescent="0.25">
      <c r="C195" s="3" t="s">
        <v>122</v>
      </c>
      <c r="D195" s="91">
        <f t="shared" si="7"/>
        <v>1</v>
      </c>
      <c r="E195" s="91">
        <f t="shared" si="7"/>
        <v>9.4770000000000003</v>
      </c>
      <c r="F195" s="91">
        <f t="shared" si="7"/>
        <v>1.323</v>
      </c>
      <c r="G195" s="91">
        <f t="shared" si="7"/>
        <v>2.3129999999999997</v>
      </c>
      <c r="H195" s="39">
        <v>0.9</v>
      </c>
    </row>
    <row r="196" spans="2:8" x14ac:dyDescent="0.25">
      <c r="B196" s="8" t="s">
        <v>82</v>
      </c>
      <c r="C196" s="3" t="s">
        <v>119</v>
      </c>
      <c r="D196" s="91">
        <f t="shared" ref="D196:G215" si="8">IF(D86=1,1,D86*0.9)</f>
        <v>1</v>
      </c>
      <c r="E196" s="91">
        <f t="shared" si="8"/>
        <v>1</v>
      </c>
      <c r="F196" s="91">
        <f t="shared" si="8"/>
        <v>1</v>
      </c>
      <c r="G196" s="91">
        <f t="shared" si="8"/>
        <v>1</v>
      </c>
      <c r="H196" s="39">
        <v>0.9</v>
      </c>
    </row>
    <row r="197" spans="2:8" x14ac:dyDescent="0.25">
      <c r="C197" s="3" t="s">
        <v>120</v>
      </c>
      <c r="D197" s="91">
        <f t="shared" si="8"/>
        <v>1</v>
      </c>
      <c r="E197" s="91">
        <f t="shared" si="8"/>
        <v>1.494</v>
      </c>
      <c r="F197" s="91">
        <f t="shared" si="8"/>
        <v>1</v>
      </c>
      <c r="G197" s="91">
        <f t="shared" si="8"/>
        <v>1</v>
      </c>
      <c r="H197" s="39">
        <v>0.9</v>
      </c>
    </row>
    <row r="198" spans="2:8" x14ac:dyDescent="0.25">
      <c r="C198" s="3" t="s">
        <v>121</v>
      </c>
      <c r="D198" s="91">
        <f t="shared" si="8"/>
        <v>1</v>
      </c>
      <c r="E198" s="91">
        <f t="shared" si="8"/>
        <v>2.25</v>
      </c>
      <c r="F198" s="91">
        <f t="shared" si="8"/>
        <v>1</v>
      </c>
      <c r="G198" s="91">
        <f t="shared" si="8"/>
        <v>1</v>
      </c>
      <c r="H198" s="39">
        <v>0.9</v>
      </c>
    </row>
    <row r="199" spans="2:8" x14ac:dyDescent="0.25">
      <c r="C199" s="3" t="s">
        <v>122</v>
      </c>
      <c r="D199" s="91">
        <f t="shared" si="8"/>
        <v>1</v>
      </c>
      <c r="E199" s="91">
        <f t="shared" si="8"/>
        <v>13.473000000000001</v>
      </c>
      <c r="F199" s="91">
        <f t="shared" si="8"/>
        <v>1.728</v>
      </c>
      <c r="G199" s="91">
        <f t="shared" si="8"/>
        <v>1.728</v>
      </c>
      <c r="H199" s="39">
        <v>0.9</v>
      </c>
    </row>
    <row r="200" spans="2:8" x14ac:dyDescent="0.25">
      <c r="B200" s="8" t="s">
        <v>84</v>
      </c>
      <c r="C200" s="3" t="s">
        <v>119</v>
      </c>
      <c r="D200" s="91">
        <f t="shared" si="8"/>
        <v>1</v>
      </c>
      <c r="E200" s="91">
        <f t="shared" si="8"/>
        <v>1</v>
      </c>
      <c r="F200" s="91">
        <f t="shared" si="8"/>
        <v>1</v>
      </c>
      <c r="G200" s="91">
        <f t="shared" si="8"/>
        <v>1</v>
      </c>
      <c r="H200" s="39">
        <v>0.9</v>
      </c>
    </row>
    <row r="201" spans="2:8" x14ac:dyDescent="0.25">
      <c r="C201" s="3" t="s">
        <v>120</v>
      </c>
      <c r="D201" s="91">
        <f t="shared" si="8"/>
        <v>1</v>
      </c>
      <c r="E201" s="91">
        <f t="shared" si="8"/>
        <v>1.3320000000000001</v>
      </c>
      <c r="F201" s="91">
        <f t="shared" si="8"/>
        <v>1</v>
      </c>
      <c r="G201" s="91">
        <f t="shared" si="8"/>
        <v>1</v>
      </c>
      <c r="H201" s="39">
        <v>0.9</v>
      </c>
    </row>
    <row r="202" spans="2:8" x14ac:dyDescent="0.25">
      <c r="C202" s="3" t="s">
        <v>121</v>
      </c>
      <c r="D202" s="91">
        <f t="shared" si="8"/>
        <v>1</v>
      </c>
      <c r="E202" s="91">
        <f t="shared" si="8"/>
        <v>2.556</v>
      </c>
      <c r="F202" s="91">
        <f t="shared" si="8"/>
        <v>1</v>
      </c>
      <c r="G202" s="91">
        <f t="shared" si="8"/>
        <v>1</v>
      </c>
      <c r="H202" s="39">
        <v>0.9</v>
      </c>
    </row>
    <row r="203" spans="2:8" x14ac:dyDescent="0.25">
      <c r="C203" s="3" t="s">
        <v>122</v>
      </c>
      <c r="D203" s="91">
        <f t="shared" si="8"/>
        <v>1</v>
      </c>
      <c r="E203" s="91">
        <f t="shared" si="8"/>
        <v>12.96</v>
      </c>
      <c r="F203" s="91">
        <f t="shared" si="8"/>
        <v>3.3210000000000002</v>
      </c>
      <c r="G203" s="91">
        <f t="shared" si="8"/>
        <v>3.3210000000000002</v>
      </c>
      <c r="H203" s="39">
        <v>0.9</v>
      </c>
    </row>
    <row r="204" spans="2:8" x14ac:dyDescent="0.25">
      <c r="B204" s="8" t="s">
        <v>83</v>
      </c>
      <c r="C204" s="3" t="s">
        <v>119</v>
      </c>
      <c r="D204" s="91">
        <f t="shared" si="8"/>
        <v>1</v>
      </c>
      <c r="E204" s="91">
        <f t="shared" si="8"/>
        <v>1</v>
      </c>
      <c r="F204" s="91">
        <f t="shared" si="8"/>
        <v>1</v>
      </c>
      <c r="G204" s="91">
        <f t="shared" si="8"/>
        <v>1</v>
      </c>
      <c r="H204" s="39">
        <v>0.9</v>
      </c>
    </row>
    <row r="205" spans="2:8" x14ac:dyDescent="0.25">
      <c r="C205" s="3" t="s">
        <v>120</v>
      </c>
      <c r="D205" s="91">
        <f t="shared" si="8"/>
        <v>1</v>
      </c>
      <c r="E205" s="91">
        <f t="shared" si="8"/>
        <v>1.3320000000000001</v>
      </c>
      <c r="F205" s="91">
        <f t="shared" si="8"/>
        <v>1</v>
      </c>
      <c r="G205" s="91">
        <f t="shared" si="8"/>
        <v>1</v>
      </c>
      <c r="H205" s="39">
        <v>0.9</v>
      </c>
    </row>
    <row r="206" spans="2:8" x14ac:dyDescent="0.25">
      <c r="C206" s="3" t="s">
        <v>121</v>
      </c>
      <c r="D206" s="91">
        <f t="shared" si="8"/>
        <v>1</v>
      </c>
      <c r="E206" s="91">
        <f t="shared" si="8"/>
        <v>2.556</v>
      </c>
      <c r="F206" s="91">
        <f t="shared" si="8"/>
        <v>1</v>
      </c>
      <c r="G206" s="91">
        <f t="shared" si="8"/>
        <v>1</v>
      </c>
      <c r="H206" s="39">
        <v>0.9</v>
      </c>
    </row>
    <row r="207" spans="2:8" x14ac:dyDescent="0.25">
      <c r="C207" s="3" t="s">
        <v>122</v>
      </c>
      <c r="D207" s="91">
        <f t="shared" si="8"/>
        <v>1</v>
      </c>
      <c r="E207" s="91">
        <f t="shared" si="8"/>
        <v>12.96</v>
      </c>
      <c r="F207" s="91">
        <f t="shared" si="8"/>
        <v>3.3210000000000002</v>
      </c>
      <c r="G207" s="91">
        <f t="shared" si="8"/>
        <v>3.3210000000000002</v>
      </c>
      <c r="H207" s="39">
        <v>0.9</v>
      </c>
    </row>
    <row r="208" spans="2:8" x14ac:dyDescent="0.25">
      <c r="B208" s="8" t="s">
        <v>86</v>
      </c>
      <c r="C208" s="3" t="s">
        <v>119</v>
      </c>
      <c r="D208" s="91">
        <f t="shared" si="8"/>
        <v>1</v>
      </c>
      <c r="E208" s="91">
        <f t="shared" si="8"/>
        <v>1</v>
      </c>
      <c r="F208" s="91">
        <f t="shared" si="8"/>
        <v>1</v>
      </c>
      <c r="G208" s="91">
        <f t="shared" si="8"/>
        <v>1</v>
      </c>
      <c r="H208" s="39">
        <v>0.9</v>
      </c>
    </row>
    <row r="209" spans="1:9" x14ac:dyDescent="0.25">
      <c r="C209" s="3" t="s">
        <v>120</v>
      </c>
      <c r="D209" s="91">
        <f t="shared" si="8"/>
        <v>1</v>
      </c>
      <c r="E209" s="91">
        <f t="shared" si="8"/>
        <v>1.3320000000000001</v>
      </c>
      <c r="F209" s="91">
        <f t="shared" si="8"/>
        <v>1</v>
      </c>
      <c r="G209" s="91">
        <f t="shared" si="8"/>
        <v>1</v>
      </c>
      <c r="H209" s="39">
        <v>0.9</v>
      </c>
    </row>
    <row r="210" spans="1:9" x14ac:dyDescent="0.25">
      <c r="C210" s="3" t="s">
        <v>121</v>
      </c>
      <c r="D210" s="91">
        <f t="shared" si="8"/>
        <v>1</v>
      </c>
      <c r="E210" s="91">
        <f t="shared" si="8"/>
        <v>2.556</v>
      </c>
      <c r="F210" s="91">
        <f t="shared" si="8"/>
        <v>1</v>
      </c>
      <c r="G210" s="91">
        <f t="shared" si="8"/>
        <v>1</v>
      </c>
      <c r="H210" s="39">
        <v>0.9</v>
      </c>
    </row>
    <row r="211" spans="1:9" x14ac:dyDescent="0.25">
      <c r="C211" s="3" t="s">
        <v>122</v>
      </c>
      <c r="D211" s="91">
        <f t="shared" si="8"/>
        <v>1</v>
      </c>
      <c r="E211" s="91">
        <f t="shared" si="8"/>
        <v>12.96</v>
      </c>
      <c r="F211" s="91">
        <f t="shared" si="8"/>
        <v>3.3210000000000002</v>
      </c>
      <c r="G211" s="91">
        <f t="shared" si="8"/>
        <v>3.3210000000000002</v>
      </c>
      <c r="H211" s="39">
        <v>0.9</v>
      </c>
    </row>
    <row r="213" spans="1:9" ht="13" customHeight="1" x14ac:dyDescent="0.3">
      <c r="A213" s="67" t="s">
        <v>280</v>
      </c>
      <c r="B213" s="68"/>
      <c r="C213" s="68"/>
      <c r="D213" s="68"/>
      <c r="E213" s="68"/>
      <c r="F213" s="68"/>
      <c r="G213" s="68"/>
      <c r="H213" s="68"/>
    </row>
    <row r="214" spans="1:9" ht="26" customHeight="1" x14ac:dyDescent="0.3">
      <c r="A214" s="39" t="s">
        <v>81</v>
      </c>
      <c r="B214" s="82" t="s">
        <v>122</v>
      </c>
      <c r="C214" s="69" t="s">
        <v>279</v>
      </c>
      <c r="D214" s="70" t="s">
        <v>67</v>
      </c>
      <c r="E214" s="70" t="s">
        <v>77</v>
      </c>
      <c r="F214" s="70" t="s">
        <v>78</v>
      </c>
      <c r="G214" s="70" t="s">
        <v>79</v>
      </c>
      <c r="H214" s="81" t="s">
        <v>80</v>
      </c>
    </row>
    <row r="215" spans="1:9" ht="13" customHeight="1" x14ac:dyDescent="0.3">
      <c r="A215" s="4"/>
      <c r="C215" s="3" t="s">
        <v>119</v>
      </c>
      <c r="D215" s="91">
        <f t="shared" ref="D215:G218" si="9">IF(D105=1,1,D105*0.9)</f>
        <v>1</v>
      </c>
      <c r="E215" s="91">
        <f t="shared" si="9"/>
        <v>1</v>
      </c>
      <c r="F215" s="91">
        <f t="shared" si="9"/>
        <v>1</v>
      </c>
      <c r="G215" s="91">
        <f t="shared" si="9"/>
        <v>1</v>
      </c>
      <c r="H215" s="39">
        <v>0.9</v>
      </c>
    </row>
    <row r="216" spans="1:9" x14ac:dyDescent="0.25">
      <c r="C216" s="3" t="s">
        <v>120</v>
      </c>
      <c r="D216" s="91">
        <f t="shared" si="9"/>
        <v>1.1340000000000001</v>
      </c>
      <c r="E216" s="91">
        <f t="shared" si="9"/>
        <v>1.1340000000000001</v>
      </c>
      <c r="F216" s="91">
        <f t="shared" si="9"/>
        <v>1</v>
      </c>
      <c r="G216" s="91">
        <f t="shared" si="9"/>
        <v>1</v>
      </c>
      <c r="H216" s="39">
        <v>0.9</v>
      </c>
    </row>
    <row r="217" spans="1:9" x14ac:dyDescent="0.25">
      <c r="C217" s="3" t="s">
        <v>121</v>
      </c>
      <c r="D217" s="91">
        <f t="shared" si="9"/>
        <v>1.512</v>
      </c>
      <c r="E217" s="91">
        <f t="shared" si="9"/>
        <v>1.512</v>
      </c>
      <c r="F217" s="91">
        <f t="shared" si="9"/>
        <v>1</v>
      </c>
      <c r="G217" s="91">
        <f t="shared" si="9"/>
        <v>1</v>
      </c>
      <c r="H217" s="39">
        <v>0.9</v>
      </c>
    </row>
    <row r="218" spans="1:9" x14ac:dyDescent="0.25">
      <c r="C218" s="3" t="s">
        <v>122</v>
      </c>
      <c r="D218" s="91">
        <f t="shared" si="9"/>
        <v>2.3849999999999998</v>
      </c>
      <c r="E218" s="91">
        <f t="shared" si="9"/>
        <v>2.3849999999999998</v>
      </c>
      <c r="F218" s="91">
        <f t="shared" si="9"/>
        <v>1.863</v>
      </c>
      <c r="G218" s="91">
        <f t="shared" si="9"/>
        <v>1.863</v>
      </c>
      <c r="H218" s="39">
        <v>0.9</v>
      </c>
    </row>
    <row r="220" spans="1:9" s="93" customFormat="1" ht="13" customHeight="1" x14ac:dyDescent="0.3">
      <c r="A220" s="92" t="s">
        <v>239</v>
      </c>
      <c r="H220" s="92"/>
    </row>
    <row r="221" spans="1:9" ht="13" customHeight="1" x14ac:dyDescent="0.3">
      <c r="A221" s="67" t="s">
        <v>264</v>
      </c>
      <c r="B221" s="68"/>
      <c r="C221" s="68"/>
      <c r="D221" s="68"/>
      <c r="E221" s="68"/>
      <c r="F221" s="68"/>
      <c r="G221" s="68"/>
      <c r="H221" s="68"/>
      <c r="I221" s="68"/>
    </row>
    <row r="222" spans="1:9" ht="13" customHeight="1" x14ac:dyDescent="0.3">
      <c r="A222" s="39" t="s">
        <v>225</v>
      </c>
      <c r="B222" s="1" t="s">
        <v>265</v>
      </c>
      <c r="C222" s="1" t="s">
        <v>266</v>
      </c>
      <c r="D222" s="70" t="s">
        <v>67</v>
      </c>
      <c r="E222" s="70" t="s">
        <v>77</v>
      </c>
      <c r="F222" s="70" t="s">
        <v>78</v>
      </c>
      <c r="G222" s="70" t="s">
        <v>79</v>
      </c>
      <c r="H222" s="70" t="s">
        <v>80</v>
      </c>
      <c r="I222" s="79"/>
    </row>
    <row r="223" spans="1:9" ht="13" customHeight="1" x14ac:dyDescent="0.3">
      <c r="A223" s="4"/>
      <c r="B223" s="8" t="s">
        <v>81</v>
      </c>
      <c r="C223" s="3" t="s">
        <v>267</v>
      </c>
      <c r="D223" s="91">
        <f t="shared" ref="D223:H232" si="10">IF(D3=1,1,D3*1.1)</f>
        <v>1</v>
      </c>
      <c r="E223" s="91">
        <f t="shared" si="10"/>
        <v>1</v>
      </c>
      <c r="F223" s="91">
        <f t="shared" si="10"/>
        <v>1</v>
      </c>
      <c r="G223" s="91">
        <f t="shared" si="10"/>
        <v>1</v>
      </c>
      <c r="H223" s="91">
        <f t="shared" si="10"/>
        <v>1</v>
      </c>
      <c r="I223" s="39"/>
    </row>
    <row r="224" spans="1:9" x14ac:dyDescent="0.25">
      <c r="C224" s="3" t="s">
        <v>268</v>
      </c>
      <c r="D224" s="91">
        <f t="shared" si="10"/>
        <v>1</v>
      </c>
      <c r="E224" s="91">
        <f t="shared" si="10"/>
        <v>1.837</v>
      </c>
      <c r="F224" s="91">
        <f t="shared" si="10"/>
        <v>1.837</v>
      </c>
      <c r="G224" s="91">
        <f t="shared" si="10"/>
        <v>1.837</v>
      </c>
      <c r="H224" s="91">
        <f t="shared" si="10"/>
        <v>1.837</v>
      </c>
      <c r="I224" s="39"/>
    </row>
    <row r="225" spans="2:9" x14ac:dyDescent="0.25">
      <c r="C225" s="3" t="s">
        <v>269</v>
      </c>
      <c r="D225" s="91">
        <f t="shared" si="10"/>
        <v>1</v>
      </c>
      <c r="E225" s="91">
        <f t="shared" si="10"/>
        <v>2.6179999999999999</v>
      </c>
      <c r="F225" s="91">
        <f t="shared" si="10"/>
        <v>2.6179999999999999</v>
      </c>
      <c r="G225" s="91">
        <f t="shared" si="10"/>
        <v>2.6179999999999999</v>
      </c>
      <c r="H225" s="91">
        <f t="shared" si="10"/>
        <v>2.6179999999999999</v>
      </c>
      <c r="I225" s="39"/>
    </row>
    <row r="226" spans="2:9" x14ac:dyDescent="0.25">
      <c r="C226" s="3" t="s">
        <v>270</v>
      </c>
      <c r="D226" s="91">
        <f t="shared" si="10"/>
        <v>1</v>
      </c>
      <c r="E226" s="91">
        <f t="shared" si="10"/>
        <v>6.963000000000001</v>
      </c>
      <c r="F226" s="91">
        <f t="shared" si="10"/>
        <v>6.963000000000001</v>
      </c>
      <c r="G226" s="91">
        <f t="shared" si="10"/>
        <v>6.963000000000001</v>
      </c>
      <c r="H226" s="91">
        <f t="shared" si="10"/>
        <v>6.963000000000001</v>
      </c>
      <c r="I226" s="39"/>
    </row>
    <row r="227" spans="2:9" x14ac:dyDescent="0.25">
      <c r="B227" s="8" t="s">
        <v>82</v>
      </c>
      <c r="C227" s="3" t="s">
        <v>267</v>
      </c>
      <c r="D227" s="91">
        <f t="shared" si="10"/>
        <v>1</v>
      </c>
      <c r="E227" s="91">
        <f t="shared" si="10"/>
        <v>1</v>
      </c>
      <c r="F227" s="91">
        <f t="shared" si="10"/>
        <v>1</v>
      </c>
      <c r="G227" s="91">
        <f t="shared" si="10"/>
        <v>1</v>
      </c>
      <c r="H227" s="91">
        <f t="shared" si="10"/>
        <v>1</v>
      </c>
      <c r="I227" s="39"/>
    </row>
    <row r="228" spans="2:9" x14ac:dyDescent="0.25">
      <c r="C228" s="3" t="s">
        <v>268</v>
      </c>
      <c r="D228" s="91">
        <f t="shared" si="10"/>
        <v>1</v>
      </c>
      <c r="E228" s="91">
        <f t="shared" si="10"/>
        <v>1.7050000000000003</v>
      </c>
      <c r="F228" s="91">
        <f t="shared" si="10"/>
        <v>1.7050000000000003</v>
      </c>
      <c r="G228" s="91">
        <f t="shared" si="10"/>
        <v>1.7050000000000003</v>
      </c>
      <c r="H228" s="91">
        <f t="shared" si="10"/>
        <v>1.7050000000000003</v>
      </c>
      <c r="I228" s="39"/>
    </row>
    <row r="229" spans="2:9" x14ac:dyDescent="0.25">
      <c r="C229" s="3" t="s">
        <v>269</v>
      </c>
      <c r="D229" s="91">
        <f t="shared" si="10"/>
        <v>1</v>
      </c>
      <c r="E229" s="91">
        <f t="shared" si="10"/>
        <v>2.3980000000000006</v>
      </c>
      <c r="F229" s="91">
        <f t="shared" si="10"/>
        <v>2.3980000000000006</v>
      </c>
      <c r="G229" s="91">
        <f t="shared" si="10"/>
        <v>2.3980000000000006</v>
      </c>
      <c r="H229" s="91">
        <f t="shared" si="10"/>
        <v>2.3980000000000006</v>
      </c>
      <c r="I229" s="39"/>
    </row>
    <row r="230" spans="2:9" x14ac:dyDescent="0.25">
      <c r="C230" s="3" t="s">
        <v>270</v>
      </c>
      <c r="D230" s="91">
        <f t="shared" si="10"/>
        <v>1</v>
      </c>
      <c r="E230" s="91">
        <f t="shared" si="10"/>
        <v>7.0289999999999999</v>
      </c>
      <c r="F230" s="91">
        <f t="shared" si="10"/>
        <v>7.0289999999999999</v>
      </c>
      <c r="G230" s="91">
        <f t="shared" si="10"/>
        <v>7.0289999999999999</v>
      </c>
      <c r="H230" s="91">
        <f t="shared" si="10"/>
        <v>7.0289999999999999</v>
      </c>
      <c r="I230" s="39"/>
    </row>
    <row r="231" spans="2:9" x14ac:dyDescent="0.25">
      <c r="B231" s="8" t="s">
        <v>84</v>
      </c>
      <c r="C231" s="3" t="s">
        <v>267</v>
      </c>
      <c r="D231" s="91">
        <f t="shared" si="10"/>
        <v>1</v>
      </c>
      <c r="E231" s="91">
        <f t="shared" si="10"/>
        <v>1</v>
      </c>
      <c r="F231" s="91">
        <f t="shared" si="10"/>
        <v>1</v>
      </c>
      <c r="G231" s="91">
        <f t="shared" si="10"/>
        <v>1</v>
      </c>
      <c r="H231" s="91">
        <f t="shared" si="10"/>
        <v>1</v>
      </c>
      <c r="I231" s="39"/>
    </row>
    <row r="232" spans="2:9" x14ac:dyDescent="0.25">
      <c r="C232" s="3" t="s">
        <v>268</v>
      </c>
      <c r="D232" s="91">
        <f t="shared" si="10"/>
        <v>1</v>
      </c>
      <c r="E232" s="91">
        <f t="shared" si="10"/>
        <v>1</v>
      </c>
      <c r="F232" s="91">
        <f t="shared" si="10"/>
        <v>1</v>
      </c>
      <c r="G232" s="91">
        <f t="shared" si="10"/>
        <v>1</v>
      </c>
      <c r="H232" s="91">
        <f t="shared" si="10"/>
        <v>1</v>
      </c>
      <c r="I232" s="39"/>
    </row>
    <row r="233" spans="2:9" x14ac:dyDescent="0.25">
      <c r="C233" s="3" t="s">
        <v>269</v>
      </c>
      <c r="D233" s="91">
        <f t="shared" ref="D233:H242" si="11">IF(D13=1,1,D13*1.1)</f>
        <v>1</v>
      </c>
      <c r="E233" s="91">
        <f t="shared" si="11"/>
        <v>3.0690000000000004</v>
      </c>
      <c r="F233" s="91">
        <f t="shared" si="11"/>
        <v>3.0690000000000004</v>
      </c>
      <c r="G233" s="91">
        <f t="shared" si="11"/>
        <v>3.0690000000000004</v>
      </c>
      <c r="H233" s="91">
        <f t="shared" si="11"/>
        <v>3.0690000000000004</v>
      </c>
      <c r="I233" s="39"/>
    </row>
    <row r="234" spans="2:9" x14ac:dyDescent="0.25">
      <c r="C234" s="3" t="s">
        <v>270</v>
      </c>
      <c r="D234" s="91">
        <f t="shared" si="11"/>
        <v>1</v>
      </c>
      <c r="E234" s="91">
        <f t="shared" si="11"/>
        <v>6.6110000000000007</v>
      </c>
      <c r="F234" s="91">
        <f t="shared" si="11"/>
        <v>6.6110000000000007</v>
      </c>
      <c r="G234" s="91">
        <f t="shared" si="11"/>
        <v>6.6110000000000007</v>
      </c>
      <c r="H234" s="91">
        <f t="shared" si="11"/>
        <v>6.6110000000000007</v>
      </c>
      <c r="I234" s="39"/>
    </row>
    <row r="235" spans="2:9" x14ac:dyDescent="0.25">
      <c r="B235" s="8" t="s">
        <v>85</v>
      </c>
      <c r="C235" s="3" t="s">
        <v>267</v>
      </c>
      <c r="D235" s="91">
        <f t="shared" si="11"/>
        <v>1</v>
      </c>
      <c r="E235" s="91">
        <f t="shared" si="11"/>
        <v>1</v>
      </c>
      <c r="F235" s="91">
        <f t="shared" si="11"/>
        <v>1</v>
      </c>
      <c r="G235" s="91">
        <f t="shared" si="11"/>
        <v>1</v>
      </c>
      <c r="H235" s="91">
        <f t="shared" si="11"/>
        <v>1</v>
      </c>
      <c r="I235" s="39"/>
    </row>
    <row r="236" spans="2:9" x14ac:dyDescent="0.25">
      <c r="C236" s="3" t="s">
        <v>268</v>
      </c>
      <c r="D236" s="91">
        <f t="shared" si="11"/>
        <v>1</v>
      </c>
      <c r="E236" s="91">
        <f t="shared" si="11"/>
        <v>1</v>
      </c>
      <c r="F236" s="91">
        <f t="shared" si="11"/>
        <v>1</v>
      </c>
      <c r="G236" s="91">
        <f t="shared" si="11"/>
        <v>1</v>
      </c>
      <c r="H236" s="91">
        <f t="shared" si="11"/>
        <v>1</v>
      </c>
      <c r="I236" s="39"/>
    </row>
    <row r="237" spans="2:9" x14ac:dyDescent="0.25">
      <c r="C237" s="3" t="s">
        <v>269</v>
      </c>
      <c r="D237" s="91">
        <f t="shared" si="11"/>
        <v>1</v>
      </c>
      <c r="E237" s="91">
        <f t="shared" si="11"/>
        <v>1</v>
      </c>
      <c r="F237" s="91">
        <f t="shared" si="11"/>
        <v>1</v>
      </c>
      <c r="G237" s="91">
        <f t="shared" si="11"/>
        <v>1</v>
      </c>
      <c r="H237" s="91">
        <f t="shared" si="11"/>
        <v>1</v>
      </c>
      <c r="I237" s="39"/>
    </row>
    <row r="238" spans="2:9" x14ac:dyDescent="0.25">
      <c r="C238" s="3" t="s">
        <v>270</v>
      </c>
      <c r="D238" s="91">
        <f t="shared" si="11"/>
        <v>1</v>
      </c>
      <c r="E238" s="91">
        <f t="shared" si="11"/>
        <v>1</v>
      </c>
      <c r="F238" s="91">
        <f t="shared" si="11"/>
        <v>1</v>
      </c>
      <c r="G238" s="91">
        <f t="shared" si="11"/>
        <v>1</v>
      </c>
      <c r="H238" s="91">
        <f t="shared" si="11"/>
        <v>1</v>
      </c>
      <c r="I238" s="39"/>
    </row>
    <row r="239" spans="2:9" x14ac:dyDescent="0.25">
      <c r="B239" s="8" t="s">
        <v>83</v>
      </c>
      <c r="C239" s="3" t="s">
        <v>267</v>
      </c>
      <c r="D239" s="91">
        <f t="shared" si="11"/>
        <v>1</v>
      </c>
      <c r="E239" s="91">
        <f t="shared" si="11"/>
        <v>1</v>
      </c>
      <c r="F239" s="91">
        <f t="shared" si="11"/>
        <v>1</v>
      </c>
      <c r="G239" s="91">
        <f t="shared" si="11"/>
        <v>1</v>
      </c>
      <c r="H239" s="91">
        <f t="shared" si="11"/>
        <v>1</v>
      </c>
      <c r="I239" s="39"/>
    </row>
    <row r="240" spans="2:9" x14ac:dyDescent="0.25">
      <c r="C240" s="3" t="s">
        <v>268</v>
      </c>
      <c r="D240" s="91">
        <f t="shared" si="11"/>
        <v>1</v>
      </c>
      <c r="E240" s="91">
        <f t="shared" si="11"/>
        <v>1</v>
      </c>
      <c r="F240" s="91">
        <f t="shared" si="11"/>
        <v>1</v>
      </c>
      <c r="G240" s="91">
        <f t="shared" si="11"/>
        <v>1</v>
      </c>
      <c r="H240" s="91">
        <f t="shared" si="11"/>
        <v>1</v>
      </c>
      <c r="I240" s="39"/>
    </row>
    <row r="241" spans="1:9" x14ac:dyDescent="0.25">
      <c r="C241" s="3" t="s">
        <v>269</v>
      </c>
      <c r="D241" s="91">
        <f t="shared" si="11"/>
        <v>1</v>
      </c>
      <c r="E241" s="91">
        <f t="shared" si="11"/>
        <v>2.0460000000000003</v>
      </c>
      <c r="F241" s="91">
        <f t="shared" si="11"/>
        <v>2.0460000000000003</v>
      </c>
      <c r="G241" s="91">
        <f t="shared" si="11"/>
        <v>2.0460000000000003</v>
      </c>
      <c r="H241" s="91">
        <f t="shared" si="11"/>
        <v>2.0460000000000003</v>
      </c>
      <c r="I241" s="39"/>
    </row>
    <row r="242" spans="1:9" x14ac:dyDescent="0.25">
      <c r="C242" s="3" t="s">
        <v>270</v>
      </c>
      <c r="D242" s="91">
        <f t="shared" si="11"/>
        <v>1</v>
      </c>
      <c r="E242" s="91">
        <f t="shared" si="11"/>
        <v>3.3109999999999999</v>
      </c>
      <c r="F242" s="91">
        <f t="shared" si="11"/>
        <v>3.3109999999999999</v>
      </c>
      <c r="G242" s="91">
        <f t="shared" si="11"/>
        <v>3.3109999999999999</v>
      </c>
      <c r="H242" s="91">
        <f t="shared" si="11"/>
        <v>3.3109999999999999</v>
      </c>
      <c r="I242" s="39"/>
    </row>
    <row r="243" spans="1:9" x14ac:dyDescent="0.25">
      <c r="B243" s="8" t="s">
        <v>89</v>
      </c>
      <c r="C243" s="3" t="s">
        <v>267</v>
      </c>
      <c r="D243" s="91">
        <f t="shared" ref="D243:H252" si="12">IF(D23=1,1,D23*1.1)</f>
        <v>1</v>
      </c>
      <c r="E243" s="91">
        <f t="shared" si="12"/>
        <v>1</v>
      </c>
      <c r="F243" s="91">
        <f t="shared" si="12"/>
        <v>1</v>
      </c>
      <c r="G243" s="91">
        <f t="shared" si="12"/>
        <v>1</v>
      </c>
      <c r="H243" s="91">
        <f t="shared" si="12"/>
        <v>1</v>
      </c>
      <c r="I243" s="39"/>
    </row>
    <row r="244" spans="1:9" x14ac:dyDescent="0.25">
      <c r="C244" s="3" t="s">
        <v>268</v>
      </c>
      <c r="D244" s="91">
        <f t="shared" si="12"/>
        <v>1</v>
      </c>
      <c r="E244" s="91">
        <f t="shared" si="12"/>
        <v>1</v>
      </c>
      <c r="F244" s="91">
        <f t="shared" si="12"/>
        <v>1</v>
      </c>
      <c r="G244" s="91">
        <f t="shared" si="12"/>
        <v>1</v>
      </c>
      <c r="H244" s="91">
        <f t="shared" si="12"/>
        <v>1</v>
      </c>
      <c r="I244" s="39"/>
    </row>
    <row r="245" spans="1:9" x14ac:dyDescent="0.25">
      <c r="C245" s="3" t="s">
        <v>269</v>
      </c>
      <c r="D245" s="91">
        <f t="shared" si="12"/>
        <v>1</v>
      </c>
      <c r="E245" s="91">
        <f t="shared" si="12"/>
        <v>2.0460000000000003</v>
      </c>
      <c r="F245" s="91">
        <f t="shared" si="12"/>
        <v>2.0460000000000003</v>
      </c>
      <c r="G245" s="91">
        <f t="shared" si="12"/>
        <v>2.0460000000000003</v>
      </c>
      <c r="H245" s="91">
        <f t="shared" si="12"/>
        <v>2.0460000000000003</v>
      </c>
      <c r="I245" s="39"/>
    </row>
    <row r="246" spans="1:9" x14ac:dyDescent="0.25">
      <c r="C246" s="3" t="s">
        <v>270</v>
      </c>
      <c r="D246" s="91">
        <f t="shared" si="12"/>
        <v>1</v>
      </c>
      <c r="E246" s="91">
        <f t="shared" si="12"/>
        <v>3.3109999999999999</v>
      </c>
      <c r="F246" s="91">
        <f t="shared" si="12"/>
        <v>3.3109999999999999</v>
      </c>
      <c r="G246" s="91">
        <f t="shared" si="12"/>
        <v>3.3109999999999999</v>
      </c>
      <c r="H246" s="91">
        <f t="shared" si="12"/>
        <v>3.3109999999999999</v>
      </c>
      <c r="I246" s="39"/>
    </row>
    <row r="248" spans="1:9" ht="13" customHeight="1" x14ac:dyDescent="0.3">
      <c r="A248" s="67" t="s">
        <v>271</v>
      </c>
      <c r="B248" s="68"/>
      <c r="C248" s="68"/>
      <c r="D248" s="68"/>
      <c r="E248" s="68"/>
      <c r="F248" s="68"/>
      <c r="G248" s="68"/>
      <c r="H248" s="68"/>
      <c r="I248" s="68"/>
    </row>
    <row r="249" spans="1:9" ht="13" customHeight="1" x14ac:dyDescent="0.3">
      <c r="A249" s="39" t="s">
        <v>272</v>
      </c>
      <c r="B249" s="4" t="s">
        <v>265</v>
      </c>
      <c r="C249" s="4" t="s">
        <v>273</v>
      </c>
      <c r="D249" s="70" t="s">
        <v>67</v>
      </c>
      <c r="E249" s="70" t="s">
        <v>77</v>
      </c>
      <c r="F249" s="70" t="s">
        <v>78</v>
      </c>
      <c r="G249" s="70" t="s">
        <v>79</v>
      </c>
      <c r="H249" s="70" t="s">
        <v>80</v>
      </c>
      <c r="I249" s="79"/>
    </row>
    <row r="250" spans="1:9" ht="13" customHeight="1" x14ac:dyDescent="0.3">
      <c r="A250" s="4"/>
      <c r="B250" s="8" t="s">
        <v>81</v>
      </c>
      <c r="C250" s="3" t="s">
        <v>267</v>
      </c>
      <c r="D250" s="91">
        <f t="shared" ref="D250:H259" si="13">IF(D30=1,1,D30*1.1)</f>
        <v>1</v>
      </c>
      <c r="E250" s="91">
        <f t="shared" si="13"/>
        <v>1</v>
      </c>
      <c r="F250" s="91">
        <f t="shared" si="13"/>
        <v>1</v>
      </c>
      <c r="G250" s="91">
        <f t="shared" si="13"/>
        <v>1</v>
      </c>
      <c r="H250" s="91">
        <f t="shared" si="13"/>
        <v>1</v>
      </c>
      <c r="I250" s="80"/>
    </row>
    <row r="251" spans="1:9" x14ac:dyDescent="0.25">
      <c r="C251" s="3" t="s">
        <v>268</v>
      </c>
      <c r="D251" s="91">
        <f t="shared" si="13"/>
        <v>1</v>
      </c>
      <c r="E251" s="91">
        <f t="shared" si="13"/>
        <v>1.7600000000000002</v>
      </c>
      <c r="F251" s="91">
        <f t="shared" si="13"/>
        <v>1.7600000000000002</v>
      </c>
      <c r="G251" s="91">
        <f t="shared" si="13"/>
        <v>1.7600000000000002</v>
      </c>
      <c r="H251" s="91">
        <f t="shared" si="13"/>
        <v>1.7600000000000002</v>
      </c>
      <c r="I251" s="39"/>
    </row>
    <row r="252" spans="1:9" x14ac:dyDescent="0.25">
      <c r="C252" s="3" t="s">
        <v>204</v>
      </c>
      <c r="D252" s="91">
        <f t="shared" si="13"/>
        <v>1</v>
      </c>
      <c r="E252" s="91">
        <f t="shared" si="13"/>
        <v>3.7510000000000003</v>
      </c>
      <c r="F252" s="91">
        <f t="shared" si="13"/>
        <v>3.7510000000000003</v>
      </c>
      <c r="G252" s="91">
        <f t="shared" si="13"/>
        <v>3.7510000000000003</v>
      </c>
      <c r="H252" s="91">
        <f t="shared" si="13"/>
        <v>3.7510000000000003</v>
      </c>
      <c r="I252" s="39"/>
    </row>
    <row r="253" spans="1:9" x14ac:dyDescent="0.25">
      <c r="C253" s="3" t="s">
        <v>205</v>
      </c>
      <c r="D253" s="91">
        <f t="shared" si="13"/>
        <v>1</v>
      </c>
      <c r="E253" s="91">
        <f t="shared" si="13"/>
        <v>13.563000000000001</v>
      </c>
      <c r="F253" s="91">
        <f t="shared" si="13"/>
        <v>13.563000000000001</v>
      </c>
      <c r="G253" s="91">
        <f t="shared" si="13"/>
        <v>13.563000000000001</v>
      </c>
      <c r="H253" s="91">
        <f t="shared" si="13"/>
        <v>13.563000000000001</v>
      </c>
      <c r="I253" s="39"/>
    </row>
    <row r="254" spans="1:9" x14ac:dyDescent="0.25">
      <c r="B254" s="8" t="s">
        <v>82</v>
      </c>
      <c r="C254" s="3" t="s">
        <v>267</v>
      </c>
      <c r="D254" s="91">
        <f t="shared" si="13"/>
        <v>1</v>
      </c>
      <c r="E254" s="91">
        <f t="shared" si="13"/>
        <v>1</v>
      </c>
      <c r="F254" s="91">
        <f t="shared" si="13"/>
        <v>1</v>
      </c>
      <c r="G254" s="91">
        <f t="shared" si="13"/>
        <v>1</v>
      </c>
      <c r="H254" s="91">
        <f t="shared" si="13"/>
        <v>1</v>
      </c>
      <c r="I254" s="39"/>
    </row>
    <row r="255" spans="1:9" x14ac:dyDescent="0.25">
      <c r="C255" s="3" t="s">
        <v>268</v>
      </c>
      <c r="D255" s="91">
        <f t="shared" si="13"/>
        <v>1</v>
      </c>
      <c r="E255" s="91">
        <f t="shared" si="13"/>
        <v>2.1120000000000001</v>
      </c>
      <c r="F255" s="91">
        <f t="shared" si="13"/>
        <v>2.1120000000000001</v>
      </c>
      <c r="G255" s="91">
        <f t="shared" si="13"/>
        <v>2.1120000000000001</v>
      </c>
      <c r="H255" s="91">
        <f t="shared" si="13"/>
        <v>2.1120000000000001</v>
      </c>
      <c r="I255" s="39"/>
    </row>
    <row r="256" spans="1:9" x14ac:dyDescent="0.25">
      <c r="C256" s="3" t="s">
        <v>204</v>
      </c>
      <c r="D256" s="91">
        <f t="shared" si="13"/>
        <v>1</v>
      </c>
      <c r="E256" s="91">
        <f t="shared" si="13"/>
        <v>5.1260000000000003</v>
      </c>
      <c r="F256" s="91">
        <f t="shared" si="13"/>
        <v>5.1260000000000003</v>
      </c>
      <c r="G256" s="91">
        <f t="shared" si="13"/>
        <v>5.1260000000000003</v>
      </c>
      <c r="H256" s="91">
        <f t="shared" si="13"/>
        <v>5.1260000000000003</v>
      </c>
      <c r="I256" s="39"/>
    </row>
    <row r="257" spans="2:9" x14ac:dyDescent="0.25">
      <c r="C257" s="3" t="s">
        <v>205</v>
      </c>
      <c r="D257" s="91">
        <f t="shared" si="13"/>
        <v>1</v>
      </c>
      <c r="E257" s="91">
        <f t="shared" si="13"/>
        <v>10.648</v>
      </c>
      <c r="F257" s="91">
        <f t="shared" si="13"/>
        <v>10.648</v>
      </c>
      <c r="G257" s="91">
        <f t="shared" si="13"/>
        <v>10.648</v>
      </c>
      <c r="H257" s="91">
        <f t="shared" si="13"/>
        <v>10.648</v>
      </c>
      <c r="I257" s="39"/>
    </row>
    <row r="258" spans="2:9" x14ac:dyDescent="0.25">
      <c r="B258" s="8" t="s">
        <v>84</v>
      </c>
      <c r="C258" s="3" t="s">
        <v>267</v>
      </c>
      <c r="D258" s="91">
        <f t="shared" si="13"/>
        <v>1</v>
      </c>
      <c r="E258" s="91">
        <f t="shared" si="13"/>
        <v>1</v>
      </c>
      <c r="F258" s="91">
        <f t="shared" si="13"/>
        <v>1</v>
      </c>
      <c r="G258" s="91">
        <f t="shared" si="13"/>
        <v>1</v>
      </c>
      <c r="H258" s="91">
        <f t="shared" si="13"/>
        <v>1</v>
      </c>
      <c r="I258" s="39"/>
    </row>
    <row r="259" spans="2:9" x14ac:dyDescent="0.25">
      <c r="C259" s="3" t="s">
        <v>268</v>
      </c>
      <c r="D259" s="91">
        <f t="shared" si="13"/>
        <v>1</v>
      </c>
      <c r="E259" s="91">
        <f t="shared" si="13"/>
        <v>1</v>
      </c>
      <c r="F259" s="91">
        <f t="shared" si="13"/>
        <v>1</v>
      </c>
      <c r="G259" s="91">
        <f t="shared" si="13"/>
        <v>1</v>
      </c>
      <c r="H259" s="91">
        <f t="shared" si="13"/>
        <v>1</v>
      </c>
      <c r="I259" s="39"/>
    </row>
    <row r="260" spans="2:9" x14ac:dyDescent="0.25">
      <c r="C260" s="3" t="s">
        <v>204</v>
      </c>
      <c r="D260" s="91">
        <f t="shared" ref="D260:H269" si="14">IF(D40=1,1,D40*1.1)</f>
        <v>1</v>
      </c>
      <c r="E260" s="91">
        <f t="shared" si="14"/>
        <v>2.8380000000000005</v>
      </c>
      <c r="F260" s="91">
        <f t="shared" si="14"/>
        <v>2.8380000000000005</v>
      </c>
      <c r="G260" s="91">
        <f t="shared" si="14"/>
        <v>2.8380000000000005</v>
      </c>
      <c r="H260" s="91">
        <f t="shared" si="14"/>
        <v>2.8380000000000005</v>
      </c>
      <c r="I260" s="39"/>
    </row>
    <row r="261" spans="2:9" x14ac:dyDescent="0.25">
      <c r="C261" s="3" t="s">
        <v>205</v>
      </c>
      <c r="D261" s="91">
        <f t="shared" si="14"/>
        <v>1</v>
      </c>
      <c r="E261" s="91">
        <f t="shared" si="14"/>
        <v>10.593000000000002</v>
      </c>
      <c r="F261" s="91">
        <f t="shared" si="14"/>
        <v>10.593000000000002</v>
      </c>
      <c r="G261" s="91">
        <f t="shared" si="14"/>
        <v>10.593000000000002</v>
      </c>
      <c r="H261" s="91">
        <f t="shared" si="14"/>
        <v>10.593000000000002</v>
      </c>
      <c r="I261" s="39"/>
    </row>
    <row r="262" spans="2:9" x14ac:dyDescent="0.25">
      <c r="B262" s="8" t="s">
        <v>85</v>
      </c>
      <c r="C262" s="3" t="s">
        <v>267</v>
      </c>
      <c r="D262" s="91">
        <f t="shared" si="14"/>
        <v>1</v>
      </c>
      <c r="E262" s="91">
        <f t="shared" si="14"/>
        <v>1</v>
      </c>
      <c r="F262" s="91">
        <f t="shared" si="14"/>
        <v>1</v>
      </c>
      <c r="G262" s="91">
        <f t="shared" si="14"/>
        <v>1</v>
      </c>
      <c r="H262" s="91">
        <f t="shared" si="14"/>
        <v>1</v>
      </c>
      <c r="I262" s="39"/>
    </row>
    <row r="263" spans="2:9" x14ac:dyDescent="0.25">
      <c r="C263" s="3" t="s">
        <v>268</v>
      </c>
      <c r="D263" s="91">
        <f t="shared" si="14"/>
        <v>1</v>
      </c>
      <c r="E263" s="91">
        <f t="shared" si="14"/>
        <v>1</v>
      </c>
      <c r="F263" s="91">
        <f t="shared" si="14"/>
        <v>1</v>
      </c>
      <c r="G263" s="91">
        <f t="shared" si="14"/>
        <v>1</v>
      </c>
      <c r="H263" s="91">
        <f t="shared" si="14"/>
        <v>1</v>
      </c>
      <c r="I263" s="39"/>
    </row>
    <row r="264" spans="2:9" x14ac:dyDescent="0.25">
      <c r="C264" s="3" t="s">
        <v>204</v>
      </c>
      <c r="D264" s="91">
        <f t="shared" si="14"/>
        <v>1</v>
      </c>
      <c r="E264" s="91">
        <f t="shared" si="14"/>
        <v>1</v>
      </c>
      <c r="F264" s="91">
        <f t="shared" si="14"/>
        <v>1</v>
      </c>
      <c r="G264" s="91">
        <f t="shared" si="14"/>
        <v>1</v>
      </c>
      <c r="H264" s="91">
        <f t="shared" si="14"/>
        <v>1</v>
      </c>
      <c r="I264" s="39"/>
    </row>
    <row r="265" spans="2:9" x14ac:dyDescent="0.25">
      <c r="C265" s="3" t="s">
        <v>205</v>
      </c>
      <c r="D265" s="91">
        <f t="shared" si="14"/>
        <v>1</v>
      </c>
      <c r="E265" s="91">
        <f t="shared" si="14"/>
        <v>1</v>
      </c>
      <c r="F265" s="91">
        <f t="shared" si="14"/>
        <v>1</v>
      </c>
      <c r="G265" s="91">
        <f t="shared" si="14"/>
        <v>1</v>
      </c>
      <c r="H265" s="91">
        <f t="shared" si="14"/>
        <v>1</v>
      </c>
      <c r="I265" s="39"/>
    </row>
    <row r="266" spans="2:9" x14ac:dyDescent="0.25">
      <c r="B266" s="8" t="s">
        <v>83</v>
      </c>
      <c r="C266" s="3" t="s">
        <v>267</v>
      </c>
      <c r="D266" s="91">
        <f t="shared" si="14"/>
        <v>1</v>
      </c>
      <c r="E266" s="91">
        <f t="shared" si="14"/>
        <v>1</v>
      </c>
      <c r="F266" s="91">
        <f t="shared" si="14"/>
        <v>1</v>
      </c>
      <c r="G266" s="91">
        <f t="shared" si="14"/>
        <v>1</v>
      </c>
      <c r="H266" s="91">
        <f t="shared" si="14"/>
        <v>1</v>
      </c>
      <c r="I266" s="39"/>
    </row>
    <row r="267" spans="2:9" x14ac:dyDescent="0.25">
      <c r="C267" s="3" t="s">
        <v>268</v>
      </c>
      <c r="D267" s="91">
        <f t="shared" si="14"/>
        <v>1</v>
      </c>
      <c r="E267" s="91">
        <f t="shared" si="14"/>
        <v>1.8149999999999999</v>
      </c>
      <c r="F267" s="91">
        <f t="shared" si="14"/>
        <v>1.8149999999999999</v>
      </c>
      <c r="G267" s="91">
        <f t="shared" si="14"/>
        <v>1.8149999999999999</v>
      </c>
      <c r="H267" s="91">
        <f t="shared" si="14"/>
        <v>1.8149999999999999</v>
      </c>
      <c r="I267" s="39"/>
    </row>
    <row r="268" spans="2:9" x14ac:dyDescent="0.25">
      <c r="C268" s="3" t="s">
        <v>204</v>
      </c>
      <c r="D268" s="91">
        <f t="shared" si="14"/>
        <v>1</v>
      </c>
      <c r="E268" s="91">
        <f t="shared" si="14"/>
        <v>3.0030000000000001</v>
      </c>
      <c r="F268" s="91">
        <f t="shared" si="14"/>
        <v>3.0030000000000001</v>
      </c>
      <c r="G268" s="91">
        <f t="shared" si="14"/>
        <v>3.0030000000000001</v>
      </c>
      <c r="H268" s="91">
        <f t="shared" si="14"/>
        <v>3.0030000000000001</v>
      </c>
      <c r="I268" s="39"/>
    </row>
    <row r="269" spans="2:9" x14ac:dyDescent="0.25">
      <c r="C269" s="3" t="s">
        <v>205</v>
      </c>
      <c r="D269" s="91">
        <f t="shared" si="14"/>
        <v>1</v>
      </c>
      <c r="E269" s="91">
        <f t="shared" si="14"/>
        <v>12.331000000000001</v>
      </c>
      <c r="F269" s="91">
        <f t="shared" si="14"/>
        <v>12.331000000000001</v>
      </c>
      <c r="G269" s="91">
        <f t="shared" si="14"/>
        <v>12.331000000000001</v>
      </c>
      <c r="H269" s="91">
        <f t="shared" si="14"/>
        <v>12.331000000000001</v>
      </c>
      <c r="I269" s="39"/>
    </row>
    <row r="270" spans="2:9" x14ac:dyDescent="0.25">
      <c r="B270" s="8" t="s">
        <v>89</v>
      </c>
      <c r="C270" s="3" t="s">
        <v>267</v>
      </c>
      <c r="D270" s="91">
        <f t="shared" ref="D270:H279" si="15">IF(D50=1,1,D50*1.1)</f>
        <v>1</v>
      </c>
      <c r="E270" s="91">
        <f t="shared" si="15"/>
        <v>1</v>
      </c>
      <c r="F270" s="91">
        <f t="shared" si="15"/>
        <v>1</v>
      </c>
      <c r="G270" s="91">
        <f t="shared" si="15"/>
        <v>1</v>
      </c>
      <c r="H270" s="91">
        <f t="shared" si="15"/>
        <v>1</v>
      </c>
      <c r="I270" s="39"/>
    </row>
    <row r="271" spans="2:9" x14ac:dyDescent="0.25">
      <c r="C271" s="3" t="s">
        <v>268</v>
      </c>
      <c r="D271" s="91">
        <f t="shared" si="15"/>
        <v>1</v>
      </c>
      <c r="E271" s="91">
        <f t="shared" si="15"/>
        <v>1.8149999999999999</v>
      </c>
      <c r="F271" s="91">
        <f t="shared" si="15"/>
        <v>1.8149999999999999</v>
      </c>
      <c r="G271" s="91">
        <f t="shared" si="15"/>
        <v>1.8149999999999999</v>
      </c>
      <c r="H271" s="91">
        <f t="shared" si="15"/>
        <v>1.8149999999999999</v>
      </c>
      <c r="I271" s="39"/>
    </row>
    <row r="272" spans="2:9" x14ac:dyDescent="0.25">
      <c r="C272" s="3" t="s">
        <v>204</v>
      </c>
      <c r="D272" s="91">
        <f t="shared" si="15"/>
        <v>1</v>
      </c>
      <c r="E272" s="91">
        <f t="shared" si="15"/>
        <v>3.0030000000000001</v>
      </c>
      <c r="F272" s="91">
        <f t="shared" si="15"/>
        <v>3.0030000000000001</v>
      </c>
      <c r="G272" s="91">
        <f t="shared" si="15"/>
        <v>3.0030000000000001</v>
      </c>
      <c r="H272" s="91">
        <f t="shared" si="15"/>
        <v>3.0030000000000001</v>
      </c>
      <c r="I272" s="39"/>
    </row>
    <row r="273" spans="1:9" x14ac:dyDescent="0.25">
      <c r="C273" s="3" t="s">
        <v>205</v>
      </c>
      <c r="D273" s="91">
        <f t="shared" si="15"/>
        <v>1</v>
      </c>
      <c r="E273" s="91">
        <f t="shared" si="15"/>
        <v>12.331000000000001</v>
      </c>
      <c r="F273" s="91">
        <f t="shared" si="15"/>
        <v>12.331000000000001</v>
      </c>
      <c r="G273" s="91">
        <f t="shared" si="15"/>
        <v>12.331000000000001</v>
      </c>
      <c r="H273" s="91">
        <f t="shared" si="15"/>
        <v>12.331000000000001</v>
      </c>
      <c r="I273" s="39"/>
    </row>
    <row r="274" spans="1:9" x14ac:dyDescent="0.25">
      <c r="C274" s="3"/>
      <c r="D274" s="3"/>
    </row>
    <row r="275" spans="1:9" ht="13" customHeight="1" x14ac:dyDescent="0.3">
      <c r="A275" s="67" t="s">
        <v>274</v>
      </c>
      <c r="B275" s="68"/>
      <c r="C275" s="68"/>
      <c r="D275" s="68"/>
      <c r="E275" s="68"/>
      <c r="F275" s="68"/>
      <c r="G275" s="68"/>
      <c r="H275" s="68"/>
      <c r="I275" s="68"/>
    </row>
    <row r="276" spans="1:9" ht="26" customHeight="1" x14ac:dyDescent="0.3">
      <c r="A276" s="39" t="s">
        <v>111</v>
      </c>
      <c r="B276" s="4" t="s">
        <v>265</v>
      </c>
      <c r="C276" s="69" t="s">
        <v>275</v>
      </c>
      <c r="D276" s="70" t="s">
        <v>112</v>
      </c>
      <c r="E276" s="70" t="s">
        <v>113</v>
      </c>
      <c r="F276" s="70" t="s">
        <v>114</v>
      </c>
      <c r="G276" s="70" t="s">
        <v>115</v>
      </c>
      <c r="H276" s="79"/>
    </row>
    <row r="277" spans="1:9" ht="13" customHeight="1" x14ac:dyDescent="0.3">
      <c r="A277" s="4"/>
      <c r="B277" s="8" t="s">
        <v>91</v>
      </c>
      <c r="C277" s="3" t="s">
        <v>276</v>
      </c>
      <c r="D277" s="91">
        <f t="shared" ref="D277:G282" si="16">IF(D57=1,1,D57*1.1)</f>
        <v>1</v>
      </c>
      <c r="E277" s="91">
        <f t="shared" si="16"/>
        <v>1</v>
      </c>
      <c r="F277" s="91">
        <f t="shared" si="16"/>
        <v>1</v>
      </c>
      <c r="G277" s="91">
        <f t="shared" si="16"/>
        <v>1</v>
      </c>
      <c r="H277" s="39"/>
    </row>
    <row r="278" spans="1:9" x14ac:dyDescent="0.25">
      <c r="C278" s="3" t="s">
        <v>277</v>
      </c>
      <c r="D278" s="91">
        <f t="shared" si="16"/>
        <v>11.742500000000001</v>
      </c>
      <c r="E278" s="91">
        <f t="shared" si="16"/>
        <v>11.742500000000001</v>
      </c>
      <c r="F278" s="91">
        <f t="shared" si="16"/>
        <v>11.742500000000001</v>
      </c>
      <c r="G278" s="91">
        <f t="shared" si="16"/>
        <v>11.742500000000001</v>
      </c>
      <c r="H278" s="39"/>
    </row>
    <row r="279" spans="1:9" x14ac:dyDescent="0.25">
      <c r="B279" s="8" t="s">
        <v>92</v>
      </c>
      <c r="C279" s="3" t="s">
        <v>276</v>
      </c>
      <c r="D279" s="91">
        <f t="shared" si="16"/>
        <v>1</v>
      </c>
      <c r="E279" s="91">
        <f t="shared" si="16"/>
        <v>1</v>
      </c>
      <c r="F279" s="91">
        <f t="shared" si="16"/>
        <v>1</v>
      </c>
      <c r="G279" s="91">
        <f t="shared" si="16"/>
        <v>1</v>
      </c>
      <c r="H279" s="39"/>
    </row>
    <row r="280" spans="1:9" x14ac:dyDescent="0.25">
      <c r="C280" s="3" t="s">
        <v>277</v>
      </c>
      <c r="D280" s="91">
        <f t="shared" si="16"/>
        <v>11.742500000000001</v>
      </c>
      <c r="E280" s="91">
        <f t="shared" si="16"/>
        <v>11.742500000000001</v>
      </c>
      <c r="F280" s="91">
        <f t="shared" si="16"/>
        <v>11.742500000000001</v>
      </c>
      <c r="G280" s="91">
        <f t="shared" si="16"/>
        <v>11.742500000000001</v>
      </c>
      <c r="H280" s="39"/>
    </row>
    <row r="281" spans="1:9" x14ac:dyDescent="0.25">
      <c r="B281" s="8" t="s">
        <v>93</v>
      </c>
      <c r="C281" s="3" t="s">
        <v>276</v>
      </c>
      <c r="D281" s="91">
        <f t="shared" si="16"/>
        <v>1</v>
      </c>
      <c r="E281" s="91">
        <f t="shared" si="16"/>
        <v>1</v>
      </c>
      <c r="F281" s="91">
        <f t="shared" si="16"/>
        <v>1</v>
      </c>
      <c r="G281" s="91">
        <f t="shared" si="16"/>
        <v>1</v>
      </c>
      <c r="H281" s="39"/>
    </row>
    <row r="282" spans="1:9" x14ac:dyDescent="0.25">
      <c r="C282" s="3" t="s">
        <v>277</v>
      </c>
      <c r="D282" s="91">
        <f t="shared" si="16"/>
        <v>11.742500000000001</v>
      </c>
      <c r="E282" s="91">
        <f t="shared" si="16"/>
        <v>11.742500000000001</v>
      </c>
      <c r="F282" s="91">
        <f t="shared" si="16"/>
        <v>11.742500000000001</v>
      </c>
      <c r="G282" s="91">
        <f t="shared" si="16"/>
        <v>11.742500000000001</v>
      </c>
      <c r="H282" s="39"/>
    </row>
    <row r="283" spans="1:9" x14ac:dyDescent="0.25">
      <c r="C283" s="3"/>
      <c r="D283" s="3"/>
    </row>
    <row r="284" spans="1:9" ht="13" customHeight="1" x14ac:dyDescent="0.3">
      <c r="A284" s="67" t="s">
        <v>278</v>
      </c>
      <c r="B284" s="68"/>
      <c r="C284" s="68"/>
      <c r="D284" s="68"/>
      <c r="E284" s="68"/>
      <c r="F284" s="68"/>
      <c r="G284" s="68"/>
      <c r="H284" s="68"/>
      <c r="I284" s="68"/>
    </row>
    <row r="285" spans="1:9" ht="26" customHeight="1" x14ac:dyDescent="0.3">
      <c r="A285" s="39" t="s">
        <v>118</v>
      </c>
      <c r="B285" s="4" t="s">
        <v>265</v>
      </c>
      <c r="C285" s="69" t="s">
        <v>279</v>
      </c>
      <c r="D285" s="70" t="s">
        <v>67</v>
      </c>
      <c r="E285" s="70" t="s">
        <v>77</v>
      </c>
      <c r="F285" s="70" t="s">
        <v>78</v>
      </c>
      <c r="G285" s="70" t="s">
        <v>79</v>
      </c>
      <c r="H285" s="81" t="s">
        <v>80</v>
      </c>
      <c r="I285" s="79"/>
    </row>
    <row r="286" spans="1:9" ht="13" customHeight="1" x14ac:dyDescent="0.3">
      <c r="A286" s="82"/>
      <c r="B286" s="8" t="s">
        <v>68</v>
      </c>
      <c r="C286" s="3" t="s">
        <v>119</v>
      </c>
      <c r="D286" s="91">
        <f t="shared" ref="D286:G305" si="17">IF(D66=1,1,D66*1.1)</f>
        <v>1.4850000000000003</v>
      </c>
      <c r="E286" s="91">
        <f t="shared" si="17"/>
        <v>1</v>
      </c>
      <c r="F286" s="91">
        <f t="shared" si="17"/>
        <v>1</v>
      </c>
      <c r="G286" s="91">
        <f t="shared" si="17"/>
        <v>1</v>
      </c>
      <c r="H286" s="39">
        <v>1.05</v>
      </c>
      <c r="I286" s="39"/>
    </row>
    <row r="287" spans="1:9" x14ac:dyDescent="0.25">
      <c r="C287" s="3" t="s">
        <v>120</v>
      </c>
      <c r="D287" s="91">
        <f t="shared" si="17"/>
        <v>1.4850000000000003</v>
      </c>
      <c r="E287" s="91">
        <f t="shared" si="17"/>
        <v>1</v>
      </c>
      <c r="F287" s="91">
        <f t="shared" si="17"/>
        <v>1</v>
      </c>
      <c r="G287" s="91">
        <f t="shared" si="17"/>
        <v>1</v>
      </c>
      <c r="H287" s="39">
        <v>1.05</v>
      </c>
      <c r="I287" s="39"/>
    </row>
    <row r="288" spans="1:9" x14ac:dyDescent="0.25">
      <c r="C288" s="3" t="s">
        <v>121</v>
      </c>
      <c r="D288" s="91">
        <f t="shared" si="17"/>
        <v>1.4850000000000003</v>
      </c>
      <c r="E288" s="91">
        <f t="shared" si="17"/>
        <v>1</v>
      </c>
      <c r="F288" s="91">
        <f t="shared" si="17"/>
        <v>1</v>
      </c>
      <c r="G288" s="91">
        <f t="shared" si="17"/>
        <v>1</v>
      </c>
      <c r="H288" s="39">
        <v>1.05</v>
      </c>
      <c r="I288" s="39"/>
    </row>
    <row r="289" spans="2:9" x14ac:dyDescent="0.25">
      <c r="C289" s="3" t="s">
        <v>122</v>
      </c>
      <c r="D289" s="91">
        <f t="shared" si="17"/>
        <v>5.9400000000000013</v>
      </c>
      <c r="E289" s="91">
        <f t="shared" si="17"/>
        <v>1</v>
      </c>
      <c r="F289" s="91">
        <f t="shared" si="17"/>
        <v>1</v>
      </c>
      <c r="G289" s="91">
        <f t="shared" si="17"/>
        <v>1</v>
      </c>
      <c r="H289" s="39">
        <v>1.05</v>
      </c>
      <c r="I289" s="39"/>
    </row>
    <row r="290" spans="2:9" x14ac:dyDescent="0.25">
      <c r="B290" s="8" t="s">
        <v>69</v>
      </c>
      <c r="C290" s="3" t="s">
        <v>119</v>
      </c>
      <c r="D290" s="91">
        <f t="shared" si="17"/>
        <v>1.4850000000000003</v>
      </c>
      <c r="E290" s="91">
        <f t="shared" si="17"/>
        <v>1</v>
      </c>
      <c r="F290" s="91">
        <f t="shared" si="17"/>
        <v>1</v>
      </c>
      <c r="G290" s="91">
        <f t="shared" si="17"/>
        <v>1</v>
      </c>
      <c r="H290" s="39">
        <v>1.05</v>
      </c>
      <c r="I290" s="39"/>
    </row>
    <row r="291" spans="2:9" x14ac:dyDescent="0.25">
      <c r="C291" s="3" t="s">
        <v>120</v>
      </c>
      <c r="D291" s="91">
        <f t="shared" si="17"/>
        <v>1.4850000000000003</v>
      </c>
      <c r="E291" s="91">
        <f t="shared" si="17"/>
        <v>1</v>
      </c>
      <c r="F291" s="91">
        <f t="shared" si="17"/>
        <v>1</v>
      </c>
      <c r="G291" s="91">
        <f t="shared" si="17"/>
        <v>1</v>
      </c>
      <c r="H291" s="39">
        <v>1.05</v>
      </c>
      <c r="I291" s="39"/>
    </row>
    <row r="292" spans="2:9" x14ac:dyDescent="0.25">
      <c r="C292" s="3" t="s">
        <v>121</v>
      </c>
      <c r="D292" s="91">
        <f t="shared" si="17"/>
        <v>1.4850000000000003</v>
      </c>
      <c r="E292" s="91">
        <f t="shared" si="17"/>
        <v>1</v>
      </c>
      <c r="F292" s="91">
        <f t="shared" si="17"/>
        <v>1</v>
      </c>
      <c r="G292" s="91">
        <f t="shared" si="17"/>
        <v>1</v>
      </c>
      <c r="H292" s="39">
        <v>1.05</v>
      </c>
      <c r="I292" s="39"/>
    </row>
    <row r="293" spans="2:9" x14ac:dyDescent="0.25">
      <c r="C293" s="3" t="s">
        <v>122</v>
      </c>
      <c r="D293" s="91">
        <f t="shared" si="17"/>
        <v>5.9400000000000013</v>
      </c>
      <c r="E293" s="91">
        <f t="shared" si="17"/>
        <v>1</v>
      </c>
      <c r="F293" s="91">
        <f t="shared" si="17"/>
        <v>1</v>
      </c>
      <c r="G293" s="91">
        <f t="shared" si="17"/>
        <v>1</v>
      </c>
      <c r="H293" s="39">
        <v>1.05</v>
      </c>
      <c r="I293" s="39"/>
    </row>
    <row r="294" spans="2:9" x14ac:dyDescent="0.25">
      <c r="B294" s="8" t="s">
        <v>70</v>
      </c>
      <c r="C294" s="3" t="s">
        <v>119</v>
      </c>
      <c r="D294" s="91">
        <f t="shared" si="17"/>
        <v>1.4850000000000003</v>
      </c>
      <c r="E294" s="91">
        <f t="shared" si="17"/>
        <v>1</v>
      </c>
      <c r="F294" s="91">
        <f t="shared" si="17"/>
        <v>1</v>
      </c>
      <c r="G294" s="91">
        <f t="shared" si="17"/>
        <v>1</v>
      </c>
      <c r="H294" s="39">
        <v>1.05</v>
      </c>
      <c r="I294" s="39"/>
    </row>
    <row r="295" spans="2:9" x14ac:dyDescent="0.25">
      <c r="C295" s="3" t="s">
        <v>120</v>
      </c>
      <c r="D295" s="91">
        <f t="shared" si="17"/>
        <v>1.4850000000000003</v>
      </c>
      <c r="E295" s="91">
        <f t="shared" si="17"/>
        <v>1</v>
      </c>
      <c r="F295" s="91">
        <f t="shared" si="17"/>
        <v>1</v>
      </c>
      <c r="G295" s="91">
        <f t="shared" si="17"/>
        <v>1</v>
      </c>
      <c r="H295" s="39">
        <v>1.05</v>
      </c>
      <c r="I295" s="39"/>
    </row>
    <row r="296" spans="2:9" x14ac:dyDescent="0.25">
      <c r="C296" s="3" t="s">
        <v>121</v>
      </c>
      <c r="D296" s="91">
        <f t="shared" si="17"/>
        <v>1.4850000000000003</v>
      </c>
      <c r="E296" s="91">
        <f t="shared" si="17"/>
        <v>1</v>
      </c>
      <c r="F296" s="91">
        <f t="shared" si="17"/>
        <v>1</v>
      </c>
      <c r="G296" s="91">
        <f t="shared" si="17"/>
        <v>1</v>
      </c>
      <c r="H296" s="39">
        <v>1.05</v>
      </c>
      <c r="I296" s="39"/>
    </row>
    <row r="297" spans="2:9" x14ac:dyDescent="0.25">
      <c r="C297" s="3" t="s">
        <v>122</v>
      </c>
      <c r="D297" s="91">
        <f t="shared" si="17"/>
        <v>5.9400000000000013</v>
      </c>
      <c r="E297" s="91">
        <f t="shared" si="17"/>
        <v>1</v>
      </c>
      <c r="F297" s="91">
        <f t="shared" si="17"/>
        <v>1</v>
      </c>
      <c r="G297" s="91">
        <f t="shared" si="17"/>
        <v>1</v>
      </c>
      <c r="H297" s="39">
        <v>1.05</v>
      </c>
      <c r="I297" s="39"/>
    </row>
    <row r="298" spans="2:9" x14ac:dyDescent="0.25">
      <c r="B298" s="8" t="s">
        <v>72</v>
      </c>
      <c r="C298" s="3" t="s">
        <v>119</v>
      </c>
      <c r="D298" s="91">
        <f t="shared" si="17"/>
        <v>1</v>
      </c>
      <c r="E298" s="91">
        <f t="shared" si="17"/>
        <v>1</v>
      </c>
      <c r="F298" s="91">
        <f t="shared" si="17"/>
        <v>1</v>
      </c>
      <c r="G298" s="91">
        <f t="shared" si="17"/>
        <v>1</v>
      </c>
      <c r="H298" s="39">
        <v>1.05</v>
      </c>
      <c r="I298" s="39"/>
    </row>
    <row r="299" spans="2:9" x14ac:dyDescent="0.25">
      <c r="C299" s="3" t="s">
        <v>120</v>
      </c>
      <c r="D299" s="91">
        <f t="shared" si="17"/>
        <v>1</v>
      </c>
      <c r="E299" s="91">
        <f t="shared" si="17"/>
        <v>1</v>
      </c>
      <c r="F299" s="91">
        <f t="shared" si="17"/>
        <v>1</v>
      </c>
      <c r="G299" s="91">
        <f t="shared" si="17"/>
        <v>1</v>
      </c>
      <c r="H299" s="39">
        <v>1.05</v>
      </c>
      <c r="I299" s="39"/>
    </row>
    <row r="300" spans="2:9" x14ac:dyDescent="0.25">
      <c r="C300" s="3" t="s">
        <v>121</v>
      </c>
      <c r="D300" s="91">
        <f t="shared" si="17"/>
        <v>1</v>
      </c>
      <c r="E300" s="91">
        <f t="shared" si="17"/>
        <v>1</v>
      </c>
      <c r="F300" s="91">
        <f t="shared" si="17"/>
        <v>1</v>
      </c>
      <c r="G300" s="91">
        <f t="shared" si="17"/>
        <v>1</v>
      </c>
      <c r="H300" s="39">
        <v>1.05</v>
      </c>
      <c r="I300" s="39"/>
    </row>
    <row r="301" spans="2:9" x14ac:dyDescent="0.25">
      <c r="C301" s="3" t="s">
        <v>122</v>
      </c>
      <c r="D301" s="91">
        <f t="shared" si="17"/>
        <v>1</v>
      </c>
      <c r="E301" s="91">
        <f t="shared" si="17"/>
        <v>1</v>
      </c>
      <c r="F301" s="91">
        <f t="shared" si="17"/>
        <v>1</v>
      </c>
      <c r="G301" s="91">
        <f t="shared" si="17"/>
        <v>1</v>
      </c>
      <c r="H301" s="39">
        <v>1.05</v>
      </c>
      <c r="I301" s="39"/>
    </row>
    <row r="302" spans="2:9" x14ac:dyDescent="0.25">
      <c r="B302" s="8" t="s">
        <v>81</v>
      </c>
      <c r="C302" s="3" t="s">
        <v>119</v>
      </c>
      <c r="D302" s="91">
        <f t="shared" si="17"/>
        <v>1</v>
      </c>
      <c r="E302" s="91">
        <f t="shared" si="17"/>
        <v>1</v>
      </c>
      <c r="F302" s="91">
        <f t="shared" si="17"/>
        <v>1</v>
      </c>
      <c r="G302" s="91">
        <f t="shared" si="17"/>
        <v>1</v>
      </c>
      <c r="H302" s="39">
        <v>1.05</v>
      </c>
      <c r="I302" s="39"/>
    </row>
    <row r="303" spans="2:9" x14ac:dyDescent="0.25">
      <c r="C303" s="3" t="s">
        <v>120</v>
      </c>
      <c r="D303" s="91">
        <f t="shared" si="17"/>
        <v>1</v>
      </c>
      <c r="E303" s="91">
        <f t="shared" si="17"/>
        <v>2.508</v>
      </c>
      <c r="F303" s="91">
        <f t="shared" si="17"/>
        <v>1</v>
      </c>
      <c r="G303" s="91">
        <f t="shared" si="17"/>
        <v>1</v>
      </c>
      <c r="H303" s="39">
        <v>1.05</v>
      </c>
      <c r="I303" s="39"/>
    </row>
    <row r="304" spans="2:9" x14ac:dyDescent="0.25">
      <c r="C304" s="3" t="s">
        <v>121</v>
      </c>
      <c r="D304" s="91">
        <f t="shared" si="17"/>
        <v>1</v>
      </c>
      <c r="E304" s="91">
        <f t="shared" si="17"/>
        <v>5.0820000000000007</v>
      </c>
      <c r="F304" s="91">
        <f t="shared" si="17"/>
        <v>1</v>
      </c>
      <c r="G304" s="91">
        <f t="shared" si="17"/>
        <v>1</v>
      </c>
      <c r="H304" s="39">
        <v>1.05</v>
      </c>
      <c r="I304" s="39"/>
    </row>
    <row r="305" spans="2:9" x14ac:dyDescent="0.25">
      <c r="C305" s="3" t="s">
        <v>122</v>
      </c>
      <c r="D305" s="91">
        <f t="shared" si="17"/>
        <v>1</v>
      </c>
      <c r="E305" s="91">
        <f t="shared" si="17"/>
        <v>11.583</v>
      </c>
      <c r="F305" s="91">
        <f t="shared" si="17"/>
        <v>1.617</v>
      </c>
      <c r="G305" s="91">
        <f t="shared" si="17"/>
        <v>2.827</v>
      </c>
      <c r="H305" s="39">
        <v>1.05</v>
      </c>
      <c r="I305" s="39"/>
    </row>
    <row r="306" spans="2:9" x14ac:dyDescent="0.25">
      <c r="B306" s="8" t="s">
        <v>82</v>
      </c>
      <c r="C306" s="3" t="s">
        <v>119</v>
      </c>
      <c r="D306" s="91">
        <f t="shared" ref="D306:G325" si="18">IF(D86=1,1,D86*1.1)</f>
        <v>1</v>
      </c>
      <c r="E306" s="91">
        <f t="shared" si="18"/>
        <v>1</v>
      </c>
      <c r="F306" s="91">
        <f t="shared" si="18"/>
        <v>1</v>
      </c>
      <c r="G306" s="91">
        <f t="shared" si="18"/>
        <v>1</v>
      </c>
      <c r="H306" s="39">
        <v>1.05</v>
      </c>
      <c r="I306" s="39"/>
    </row>
    <row r="307" spans="2:9" x14ac:dyDescent="0.25">
      <c r="C307" s="3" t="s">
        <v>120</v>
      </c>
      <c r="D307" s="91">
        <f t="shared" si="18"/>
        <v>1</v>
      </c>
      <c r="E307" s="91">
        <f t="shared" si="18"/>
        <v>1.8260000000000001</v>
      </c>
      <c r="F307" s="91">
        <f t="shared" si="18"/>
        <v>1</v>
      </c>
      <c r="G307" s="91">
        <f t="shared" si="18"/>
        <v>1</v>
      </c>
      <c r="H307" s="39">
        <v>1.05</v>
      </c>
      <c r="I307" s="39"/>
    </row>
    <row r="308" spans="2:9" x14ac:dyDescent="0.25">
      <c r="C308" s="3" t="s">
        <v>121</v>
      </c>
      <c r="D308" s="91">
        <f t="shared" si="18"/>
        <v>1</v>
      </c>
      <c r="E308" s="91">
        <f t="shared" si="18"/>
        <v>2.75</v>
      </c>
      <c r="F308" s="91">
        <f t="shared" si="18"/>
        <v>1</v>
      </c>
      <c r="G308" s="91">
        <f t="shared" si="18"/>
        <v>1</v>
      </c>
      <c r="H308" s="39">
        <v>1.05</v>
      </c>
      <c r="I308" s="39"/>
    </row>
    <row r="309" spans="2:9" x14ac:dyDescent="0.25">
      <c r="C309" s="3" t="s">
        <v>122</v>
      </c>
      <c r="D309" s="91">
        <f t="shared" si="18"/>
        <v>1</v>
      </c>
      <c r="E309" s="91">
        <f t="shared" si="18"/>
        <v>16.467000000000002</v>
      </c>
      <c r="F309" s="91">
        <f t="shared" si="18"/>
        <v>2.1120000000000001</v>
      </c>
      <c r="G309" s="91">
        <f t="shared" si="18"/>
        <v>2.1120000000000001</v>
      </c>
      <c r="H309" s="39">
        <v>1.05</v>
      </c>
      <c r="I309" s="39"/>
    </row>
    <row r="310" spans="2:9" x14ac:dyDescent="0.25">
      <c r="B310" s="8" t="s">
        <v>84</v>
      </c>
      <c r="C310" s="3" t="s">
        <v>119</v>
      </c>
      <c r="D310" s="91">
        <f t="shared" si="18"/>
        <v>1</v>
      </c>
      <c r="E310" s="91">
        <f t="shared" si="18"/>
        <v>1</v>
      </c>
      <c r="F310" s="91">
        <f t="shared" si="18"/>
        <v>1</v>
      </c>
      <c r="G310" s="91">
        <f t="shared" si="18"/>
        <v>1</v>
      </c>
      <c r="H310" s="39">
        <v>1.05</v>
      </c>
      <c r="I310" s="39"/>
    </row>
    <row r="311" spans="2:9" x14ac:dyDescent="0.25">
      <c r="C311" s="3" t="s">
        <v>120</v>
      </c>
      <c r="D311" s="91">
        <f t="shared" si="18"/>
        <v>1</v>
      </c>
      <c r="E311" s="91">
        <f t="shared" si="18"/>
        <v>1.6280000000000001</v>
      </c>
      <c r="F311" s="91">
        <f t="shared" si="18"/>
        <v>1</v>
      </c>
      <c r="G311" s="91">
        <f t="shared" si="18"/>
        <v>1</v>
      </c>
      <c r="H311" s="39">
        <v>1.05</v>
      </c>
      <c r="I311" s="39"/>
    </row>
    <row r="312" spans="2:9" x14ac:dyDescent="0.25">
      <c r="C312" s="3" t="s">
        <v>121</v>
      </c>
      <c r="D312" s="91">
        <f t="shared" si="18"/>
        <v>1</v>
      </c>
      <c r="E312" s="91">
        <f t="shared" si="18"/>
        <v>3.1240000000000001</v>
      </c>
      <c r="F312" s="91">
        <f t="shared" si="18"/>
        <v>1</v>
      </c>
      <c r="G312" s="91">
        <f t="shared" si="18"/>
        <v>1</v>
      </c>
      <c r="H312" s="39">
        <v>1.05</v>
      </c>
      <c r="I312" s="39"/>
    </row>
    <row r="313" spans="2:9" x14ac:dyDescent="0.25">
      <c r="C313" s="3" t="s">
        <v>122</v>
      </c>
      <c r="D313" s="91">
        <f t="shared" si="18"/>
        <v>1</v>
      </c>
      <c r="E313" s="91">
        <f t="shared" si="18"/>
        <v>15.840000000000002</v>
      </c>
      <c r="F313" s="91">
        <f t="shared" si="18"/>
        <v>4.0590000000000002</v>
      </c>
      <c r="G313" s="91">
        <f t="shared" si="18"/>
        <v>4.0590000000000002</v>
      </c>
      <c r="H313" s="39">
        <v>1.05</v>
      </c>
      <c r="I313" s="39"/>
    </row>
    <row r="314" spans="2:9" x14ac:dyDescent="0.25">
      <c r="B314" s="8" t="s">
        <v>83</v>
      </c>
      <c r="C314" s="3" t="s">
        <v>119</v>
      </c>
      <c r="D314" s="91">
        <f t="shared" si="18"/>
        <v>1</v>
      </c>
      <c r="E314" s="91">
        <f t="shared" si="18"/>
        <v>1</v>
      </c>
      <c r="F314" s="91">
        <f t="shared" si="18"/>
        <v>1</v>
      </c>
      <c r="G314" s="91">
        <f t="shared" si="18"/>
        <v>1</v>
      </c>
      <c r="H314" s="39">
        <v>1.05</v>
      </c>
      <c r="I314" s="39"/>
    </row>
    <row r="315" spans="2:9" x14ac:dyDescent="0.25">
      <c r="C315" s="3" t="s">
        <v>120</v>
      </c>
      <c r="D315" s="91">
        <f t="shared" si="18"/>
        <v>1</v>
      </c>
      <c r="E315" s="91">
        <f t="shared" si="18"/>
        <v>1.6280000000000001</v>
      </c>
      <c r="F315" s="91">
        <f t="shared" si="18"/>
        <v>1</v>
      </c>
      <c r="G315" s="91">
        <f t="shared" si="18"/>
        <v>1</v>
      </c>
      <c r="H315" s="39">
        <v>1.05</v>
      </c>
      <c r="I315" s="39"/>
    </row>
    <row r="316" spans="2:9" x14ac:dyDescent="0.25">
      <c r="C316" s="3" t="s">
        <v>121</v>
      </c>
      <c r="D316" s="91">
        <f t="shared" si="18"/>
        <v>1</v>
      </c>
      <c r="E316" s="91">
        <f t="shared" si="18"/>
        <v>3.1240000000000001</v>
      </c>
      <c r="F316" s="91">
        <f t="shared" si="18"/>
        <v>1</v>
      </c>
      <c r="G316" s="91">
        <f t="shared" si="18"/>
        <v>1</v>
      </c>
      <c r="H316" s="39">
        <v>1.05</v>
      </c>
      <c r="I316" s="39"/>
    </row>
    <row r="317" spans="2:9" x14ac:dyDescent="0.25">
      <c r="C317" s="3" t="s">
        <v>122</v>
      </c>
      <c r="D317" s="91">
        <f t="shared" si="18"/>
        <v>1</v>
      </c>
      <c r="E317" s="91">
        <f t="shared" si="18"/>
        <v>15.840000000000002</v>
      </c>
      <c r="F317" s="91">
        <f t="shared" si="18"/>
        <v>4.0590000000000002</v>
      </c>
      <c r="G317" s="91">
        <f t="shared" si="18"/>
        <v>4.0590000000000002</v>
      </c>
      <c r="H317" s="39">
        <v>1.05</v>
      </c>
      <c r="I317" s="39"/>
    </row>
    <row r="318" spans="2:9" x14ac:dyDescent="0.25">
      <c r="B318" s="8" t="s">
        <v>86</v>
      </c>
      <c r="C318" s="3" t="s">
        <v>119</v>
      </c>
      <c r="D318" s="91">
        <f t="shared" si="18"/>
        <v>1</v>
      </c>
      <c r="E318" s="91">
        <f t="shared" si="18"/>
        <v>1</v>
      </c>
      <c r="F318" s="91">
        <f t="shared" si="18"/>
        <v>1</v>
      </c>
      <c r="G318" s="91">
        <f t="shared" si="18"/>
        <v>1</v>
      </c>
      <c r="H318" s="39">
        <v>1.05</v>
      </c>
      <c r="I318" s="39"/>
    </row>
    <row r="319" spans="2:9" x14ac:dyDescent="0.25">
      <c r="C319" s="3" t="s">
        <v>120</v>
      </c>
      <c r="D319" s="91">
        <f t="shared" si="18"/>
        <v>1</v>
      </c>
      <c r="E319" s="91">
        <f t="shared" si="18"/>
        <v>1.6280000000000001</v>
      </c>
      <c r="F319" s="91">
        <f t="shared" si="18"/>
        <v>1</v>
      </c>
      <c r="G319" s="91">
        <f t="shared" si="18"/>
        <v>1</v>
      </c>
      <c r="H319" s="39">
        <v>1.05</v>
      </c>
      <c r="I319" s="39"/>
    </row>
    <row r="320" spans="2:9" x14ac:dyDescent="0.25">
      <c r="C320" s="3" t="s">
        <v>121</v>
      </c>
      <c r="D320" s="91">
        <f t="shared" si="18"/>
        <v>1</v>
      </c>
      <c r="E320" s="91">
        <f t="shared" si="18"/>
        <v>3.1240000000000001</v>
      </c>
      <c r="F320" s="91">
        <f t="shared" si="18"/>
        <v>1</v>
      </c>
      <c r="G320" s="91">
        <f t="shared" si="18"/>
        <v>1</v>
      </c>
      <c r="H320" s="39">
        <v>1.05</v>
      </c>
      <c r="I320" s="39"/>
    </row>
    <row r="321" spans="1:9" x14ac:dyDescent="0.25">
      <c r="C321" s="3" t="s">
        <v>122</v>
      </c>
      <c r="D321" s="91">
        <f t="shared" si="18"/>
        <v>1</v>
      </c>
      <c r="E321" s="91">
        <f t="shared" si="18"/>
        <v>15.840000000000002</v>
      </c>
      <c r="F321" s="91">
        <f t="shared" si="18"/>
        <v>4.0590000000000002</v>
      </c>
      <c r="G321" s="91">
        <f t="shared" si="18"/>
        <v>4.0590000000000002</v>
      </c>
      <c r="H321" s="39">
        <v>1.05</v>
      </c>
      <c r="I321" s="39"/>
    </row>
    <row r="323" spans="1:9" ht="13" customHeight="1" x14ac:dyDescent="0.3">
      <c r="A323" s="67" t="s">
        <v>280</v>
      </c>
      <c r="B323" s="68"/>
      <c r="C323" s="68"/>
      <c r="D323" s="68"/>
      <c r="E323" s="68"/>
      <c r="F323" s="68"/>
      <c r="G323" s="68"/>
      <c r="H323" s="68"/>
      <c r="I323" s="68"/>
    </row>
    <row r="324" spans="1:9" ht="26" customHeight="1" x14ac:dyDescent="0.3">
      <c r="A324" s="39" t="s">
        <v>81</v>
      </c>
      <c r="B324" s="82" t="s">
        <v>122</v>
      </c>
      <c r="C324" s="69" t="s">
        <v>279</v>
      </c>
      <c r="D324" s="70" t="s">
        <v>67</v>
      </c>
      <c r="E324" s="70" t="s">
        <v>77</v>
      </c>
      <c r="F324" s="70" t="s">
        <v>78</v>
      </c>
      <c r="G324" s="70" t="s">
        <v>79</v>
      </c>
      <c r="H324" s="81" t="s">
        <v>80</v>
      </c>
      <c r="I324" s="79"/>
    </row>
    <row r="325" spans="1:9" ht="13" customHeight="1" x14ac:dyDescent="0.3">
      <c r="A325" s="4"/>
      <c r="C325" s="3" t="s">
        <v>119</v>
      </c>
      <c r="D325" s="91">
        <f t="shared" ref="D325:G328" si="19">IF(D105=1,1,D105*1.1)</f>
        <v>1</v>
      </c>
      <c r="E325" s="91">
        <f t="shared" si="19"/>
        <v>1</v>
      </c>
      <c r="F325" s="91">
        <f t="shared" si="19"/>
        <v>1</v>
      </c>
      <c r="G325" s="91">
        <f t="shared" si="19"/>
        <v>1</v>
      </c>
      <c r="H325" s="39">
        <v>1.05</v>
      </c>
      <c r="I325" s="39"/>
    </row>
    <row r="326" spans="1:9" x14ac:dyDescent="0.25">
      <c r="C326" s="3" t="s">
        <v>120</v>
      </c>
      <c r="D326" s="91">
        <f t="shared" si="19"/>
        <v>1.3860000000000001</v>
      </c>
      <c r="E326" s="91">
        <f t="shared" si="19"/>
        <v>1.3860000000000001</v>
      </c>
      <c r="F326" s="91">
        <f t="shared" si="19"/>
        <v>1</v>
      </c>
      <c r="G326" s="91">
        <f t="shared" si="19"/>
        <v>1</v>
      </c>
      <c r="H326" s="39">
        <v>1.05</v>
      </c>
      <c r="I326" s="39"/>
    </row>
    <row r="327" spans="1:9" x14ac:dyDescent="0.25">
      <c r="C327" s="3" t="s">
        <v>121</v>
      </c>
      <c r="D327" s="91">
        <f t="shared" si="19"/>
        <v>1.8480000000000001</v>
      </c>
      <c r="E327" s="91">
        <f t="shared" si="19"/>
        <v>1.8480000000000001</v>
      </c>
      <c r="F327" s="91">
        <f t="shared" si="19"/>
        <v>1</v>
      </c>
      <c r="G327" s="91">
        <f t="shared" si="19"/>
        <v>1</v>
      </c>
      <c r="H327" s="39">
        <v>1.05</v>
      </c>
      <c r="I327" s="39"/>
    </row>
    <row r="328" spans="1:9" x14ac:dyDescent="0.25">
      <c r="C328" s="3" t="s">
        <v>122</v>
      </c>
      <c r="D328" s="91">
        <f t="shared" si="19"/>
        <v>2.915</v>
      </c>
      <c r="E328" s="91">
        <f t="shared" si="19"/>
        <v>2.915</v>
      </c>
      <c r="F328" s="91">
        <f t="shared" si="19"/>
        <v>2.2770000000000001</v>
      </c>
      <c r="G328" s="91">
        <f t="shared" si="19"/>
        <v>2.2770000000000001</v>
      </c>
      <c r="H328" s="39">
        <v>1.05</v>
      </c>
      <c r="I328" s="39"/>
    </row>
  </sheetData>
  <sheetProtection algorithmName="SHA-512" hashValue="rzjjr+eUY+zLxtgvRuigrXBCYk8ZjZeKkvy/Wu7lqFGhk7GKsrVngS9i2Jt2gxX9Fn0pC2b9tyB7+BxRGGivEA==" saltValue="vsQDJsypwJz22iUc18xJ6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44.90625" style="8" customWidth="1"/>
    <col min="2" max="2" width="44.453125" style="8" customWidth="1"/>
    <col min="3" max="3" width="17.81640625" style="8" customWidth="1"/>
    <col min="4" max="4" width="17.54296875" style="8" customWidth="1"/>
    <col min="5" max="5" width="17.1796875" style="8" customWidth="1"/>
    <col min="6" max="6" width="15" style="8" customWidth="1"/>
    <col min="7" max="7" width="13.6328125" style="8" customWidth="1"/>
    <col min="8" max="8" width="12.81640625" style="8" customWidth="1"/>
    <col min="9" max="16384" width="12.81640625" style="8"/>
  </cols>
  <sheetData>
    <row r="1" spans="1:7" s="68" customFormat="1" ht="14.25" customHeight="1" x14ac:dyDescent="0.3">
      <c r="A1" s="67" t="s">
        <v>281</v>
      </c>
    </row>
    <row r="2" spans="1:7" ht="14.25" customHeight="1" x14ac:dyDescent="0.3">
      <c r="A2" s="82" t="s">
        <v>203</v>
      </c>
      <c r="B2" s="1"/>
      <c r="C2" s="4" t="s">
        <v>67</v>
      </c>
      <c r="D2" s="4" t="s">
        <v>77</v>
      </c>
      <c r="E2" s="4" t="s">
        <v>78</v>
      </c>
      <c r="F2" s="4" t="s">
        <v>79</v>
      </c>
      <c r="G2" s="4" t="s">
        <v>80</v>
      </c>
    </row>
    <row r="3" spans="1:7" ht="14.25" customHeight="1" x14ac:dyDescent="0.25">
      <c r="B3" s="11" t="s">
        <v>282</v>
      </c>
      <c r="C3" s="90" t="s">
        <v>283</v>
      </c>
      <c r="D3" s="90">
        <v>45</v>
      </c>
      <c r="E3" s="90">
        <v>361.6</v>
      </c>
      <c r="F3" s="90">
        <v>174.7</v>
      </c>
      <c r="G3" s="90">
        <v>174.7</v>
      </c>
    </row>
    <row r="4" spans="1:7" ht="14.25" customHeight="1" x14ac:dyDescent="0.3">
      <c r="A4" s="4"/>
      <c r="B4" s="5" t="s">
        <v>284</v>
      </c>
      <c r="C4" s="90">
        <v>1.0249999999999999</v>
      </c>
      <c r="D4" s="90">
        <v>1.0249999999999999</v>
      </c>
      <c r="E4" s="90">
        <v>1.0249999999999999</v>
      </c>
      <c r="F4" s="90">
        <v>1.0249999999999999</v>
      </c>
      <c r="G4" s="90">
        <v>1.0249999999999999</v>
      </c>
    </row>
    <row r="5" spans="1:7" ht="14.25" customHeight="1" x14ac:dyDescent="0.3">
      <c r="A5" s="14" t="s">
        <v>285</v>
      </c>
    </row>
    <row r="6" spans="1:7" ht="14.25" customHeight="1" x14ac:dyDescent="0.25">
      <c r="B6" s="5" t="s">
        <v>191</v>
      </c>
      <c r="C6" s="90">
        <v>1</v>
      </c>
      <c r="D6" s="90">
        <v>1</v>
      </c>
      <c r="E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0.60615589454884666</v>
      </c>
      <c r="F6" s="90">
        <f>IF(ISBLANK('Nutritional status distribution'!$E$4),0.64, (0.64*SUM('Nutritional status distribution'!$E$4:$E$5)/(1-0.64*SUM('Nutritional status distribution'!$E$4:$E$5)))/ (SUM('Nutritional status distribution'!$E$4:$E$5)/(1-SUM('Nutritional status distribution'!$E$4:$E$5))))</f>
        <v>0.60615589454884666</v>
      </c>
      <c r="G6" s="90">
        <v>1</v>
      </c>
    </row>
    <row r="7" spans="1:7" ht="14.25" customHeight="1" x14ac:dyDescent="0.25">
      <c r="B7" s="5" t="s">
        <v>184</v>
      </c>
      <c r="C7" s="90">
        <v>1</v>
      </c>
      <c r="D7" s="90">
        <v>1</v>
      </c>
      <c r="E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F7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G7" s="90">
        <v>1</v>
      </c>
    </row>
    <row r="8" spans="1:7" ht="14.25" customHeight="1" x14ac:dyDescent="0.25">
      <c r="B8" s="5" t="s">
        <v>192</v>
      </c>
      <c r="C8" s="90">
        <v>1</v>
      </c>
      <c r="D8" s="90">
        <v>1</v>
      </c>
      <c r="E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F8" s="90">
        <f>IF(ISBLANK('Nutritional status distribution'!$E$4),0.88, (0.88*SUM('Nutritional status distribution'!$E$4:$E$5)/(1-0.88*SUM('Nutritional status distribution'!$E$4:$E$5)))/ (SUM('Nutritional status distribution'!$E$4:$E$5)/(1-SUM('Nutritional status distribution'!$E$4:$E$5))))</f>
        <v>0.8639212745001621</v>
      </c>
      <c r="G8" s="90">
        <v>1</v>
      </c>
    </row>
    <row r="9" spans="1:7" ht="14.25" customHeight="1" x14ac:dyDescent="0.25">
      <c r="B9" s="5" t="s">
        <v>200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</row>
    <row r="10" spans="1:7" ht="14.25" customHeight="1" x14ac:dyDescent="0.25">
      <c r="B10" s="5"/>
      <c r="C10" s="5"/>
      <c r="D10" s="5"/>
      <c r="E10" s="5"/>
      <c r="F10" s="5"/>
      <c r="G10" s="5"/>
    </row>
    <row r="11" spans="1:7" s="68" customFormat="1" ht="14.25" customHeight="1" x14ac:dyDescent="0.3">
      <c r="A11" s="67" t="s">
        <v>286</v>
      </c>
    </row>
    <row r="12" spans="1:7" ht="14.25" customHeight="1" x14ac:dyDescent="0.3">
      <c r="A12" s="14"/>
      <c r="B12" s="11" t="s">
        <v>183</v>
      </c>
      <c r="C12" s="90">
        <v>1.5</v>
      </c>
      <c r="D12" s="90">
        <v>1.39</v>
      </c>
      <c r="E12" s="90">
        <v>1</v>
      </c>
      <c r="F12" s="90">
        <v>1</v>
      </c>
      <c r="G12" s="90">
        <v>1</v>
      </c>
    </row>
    <row r="13" spans="1:7" ht="14.25" customHeight="1" x14ac:dyDescent="0.3">
      <c r="A13" s="14"/>
      <c r="B13" s="11"/>
    </row>
    <row r="14" spans="1:7" s="68" customFormat="1" ht="14.25" customHeight="1" x14ac:dyDescent="0.3">
      <c r="A14" s="67" t="s">
        <v>287</v>
      </c>
    </row>
    <row r="15" spans="1:7" ht="14.25" customHeight="1" x14ac:dyDescent="0.3">
      <c r="A15" s="82" t="s">
        <v>272</v>
      </c>
      <c r="B15" s="5" t="s">
        <v>288</v>
      </c>
      <c r="C15" s="90">
        <v>1.0249999999999999</v>
      </c>
      <c r="D15" s="90">
        <v>1.0249999999999999</v>
      </c>
      <c r="E15" s="90">
        <v>1.0249999999999999</v>
      </c>
      <c r="F15" s="90">
        <v>1.0249999999999999</v>
      </c>
      <c r="G15" s="90">
        <v>1.0249999999999999</v>
      </c>
    </row>
    <row r="16" spans="1:7" ht="14.25" customHeight="1" x14ac:dyDescent="0.3">
      <c r="A16" s="4"/>
      <c r="B16" s="5" t="s">
        <v>289</v>
      </c>
      <c r="C16" s="90">
        <v>1.0249999999999999</v>
      </c>
      <c r="D16" s="90">
        <v>1.0249999999999999</v>
      </c>
      <c r="E16" s="90">
        <v>1.0249999999999999</v>
      </c>
      <c r="F16" s="90">
        <v>1.0249999999999999</v>
      </c>
      <c r="G16" s="90">
        <v>1.0249999999999999</v>
      </c>
    </row>
    <row r="17" spans="1:7" ht="14.25" customHeight="1" x14ac:dyDescent="0.3">
      <c r="A17" s="82" t="s">
        <v>111</v>
      </c>
      <c r="B17" s="11" t="s">
        <v>290</v>
      </c>
      <c r="C17" s="90">
        <v>1</v>
      </c>
      <c r="D17" s="90">
        <v>1</v>
      </c>
      <c r="E17" s="90">
        <v>1</v>
      </c>
      <c r="F17" s="90">
        <v>1</v>
      </c>
      <c r="G17" s="90">
        <v>1</v>
      </c>
    </row>
    <row r="18" spans="1:7" ht="14.25" customHeight="1" x14ac:dyDescent="0.25"/>
    <row r="19" spans="1:7" s="68" customFormat="1" ht="14.25" customHeight="1" x14ac:dyDescent="0.3">
      <c r="A19" s="67" t="s">
        <v>291</v>
      </c>
    </row>
    <row r="20" spans="1:7" s="14" customFormat="1" ht="14.25" customHeight="1" x14ac:dyDescent="0.3">
      <c r="C20" s="4" t="s">
        <v>58</v>
      </c>
      <c r="D20" s="4" t="s">
        <v>59</v>
      </c>
      <c r="E20" s="4" t="s">
        <v>60</v>
      </c>
      <c r="F20" s="4" t="s">
        <v>61</v>
      </c>
    </row>
    <row r="21" spans="1:7" x14ac:dyDescent="0.25">
      <c r="B21" s="11" t="s">
        <v>171</v>
      </c>
      <c r="C21" s="90">
        <v>1.52</v>
      </c>
      <c r="D21" s="90">
        <v>1</v>
      </c>
      <c r="E21" s="90">
        <v>1</v>
      </c>
      <c r="F21" s="90">
        <v>1</v>
      </c>
    </row>
    <row r="23" spans="1:7" s="92" customFormat="1" ht="13" customHeight="1" x14ac:dyDescent="0.3">
      <c r="A23" s="92" t="s">
        <v>235</v>
      </c>
    </row>
    <row r="24" spans="1:7" ht="13" customHeight="1" x14ac:dyDescent="0.3">
      <c r="A24" s="67" t="s">
        <v>281</v>
      </c>
      <c r="B24" s="68"/>
      <c r="C24" s="68"/>
      <c r="D24" s="68"/>
      <c r="E24" s="68"/>
      <c r="F24" s="68"/>
      <c r="G24" s="68"/>
    </row>
    <row r="25" spans="1:7" ht="13" customHeight="1" x14ac:dyDescent="0.3">
      <c r="A25" s="82" t="s">
        <v>203</v>
      </c>
      <c r="B25" s="1"/>
      <c r="C25" s="4" t="s">
        <v>67</v>
      </c>
      <c r="D25" s="4" t="s">
        <v>77</v>
      </c>
      <c r="E25" s="4" t="s">
        <v>78</v>
      </c>
      <c r="F25" s="4" t="s">
        <v>79</v>
      </c>
      <c r="G25" s="4" t="s">
        <v>80</v>
      </c>
    </row>
    <row r="26" spans="1:7" x14ac:dyDescent="0.25">
      <c r="B26" s="11" t="s">
        <v>292</v>
      </c>
      <c r="C26" s="90" t="s">
        <v>283</v>
      </c>
      <c r="D26" s="90">
        <f>D3*0.9</f>
        <v>40.5</v>
      </c>
      <c r="E26" s="90">
        <f>E3*0.9</f>
        <v>325.44000000000005</v>
      </c>
      <c r="F26" s="90">
        <f>F3*0.9</f>
        <v>157.22999999999999</v>
      </c>
      <c r="G26" s="90">
        <f>G3*0.9</f>
        <v>157.22999999999999</v>
      </c>
    </row>
    <row r="27" spans="1:7" ht="13" customHeight="1" x14ac:dyDescent="0.3">
      <c r="A27" s="4"/>
      <c r="B27" s="5" t="s">
        <v>293</v>
      </c>
      <c r="C27" s="90">
        <f>IF(C4=1,1,C4*0.9)</f>
        <v>0.92249999999999999</v>
      </c>
      <c r="D27" s="90">
        <f>IF(D4=1,1,D4*0.9)</f>
        <v>0.92249999999999999</v>
      </c>
      <c r="E27" s="90">
        <f>IF(E4=1,1,E4*0.9)</f>
        <v>0.92249999999999999</v>
      </c>
      <c r="F27" s="90">
        <f>IF(F4=1,1,F4*0.9)</f>
        <v>0.92249999999999999</v>
      </c>
      <c r="G27" s="90">
        <f>IF(G4=1,1,G4*0.9)</f>
        <v>0.92249999999999999</v>
      </c>
    </row>
    <row r="28" spans="1:7" ht="13" customHeight="1" x14ac:dyDescent="0.3">
      <c r="A28" s="14" t="s">
        <v>294</v>
      </c>
    </row>
    <row r="29" spans="1:7" x14ac:dyDescent="0.25">
      <c r="B29" s="5" t="s">
        <v>295</v>
      </c>
      <c r="C29" s="90">
        <f t="shared" ref="C29:D32" si="0">IF(C6=1,1,C6*0.9)</f>
        <v>1</v>
      </c>
      <c r="D29" s="90">
        <f t="shared" si="0"/>
        <v>1</v>
      </c>
      <c r="E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0.40483860085474055</v>
      </c>
      <c r="F29" s="90">
        <f>IF(ISBLANK('Nutritional status distribution'!$E$4),0.44, (0.44*SUM('Nutritional status distribution'!$E$4:$E$5)/(1-0.44*SUM('Nutritional status distribution'!$E$4:$E$5)))/ (SUM('Nutritional status distribution'!$E$4:$E$5)/(1-SUM('Nutritional status distribution'!$E$4:$E$5))))</f>
        <v>0.40483860085474055</v>
      </c>
      <c r="G29" s="90">
        <f>IF(G6=1,1,G6*0.9)</f>
        <v>1</v>
      </c>
    </row>
    <row r="30" spans="1:7" x14ac:dyDescent="0.25">
      <c r="B30" s="5" t="s">
        <v>296</v>
      </c>
      <c r="C30" s="90">
        <f t="shared" si="0"/>
        <v>1</v>
      </c>
      <c r="D30" s="90">
        <f t="shared" si="0"/>
        <v>1</v>
      </c>
      <c r="E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0.83067503902514195</v>
      </c>
      <c r="F30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0.83067503902514195</v>
      </c>
      <c r="G30" s="90">
        <f>IF(G7=1,1,G7*0.9)</f>
        <v>1</v>
      </c>
    </row>
    <row r="31" spans="1:7" x14ac:dyDescent="0.25">
      <c r="B31" s="5" t="s">
        <v>297</v>
      </c>
      <c r="C31" s="90">
        <f t="shared" si="0"/>
        <v>1</v>
      </c>
      <c r="D31" s="90">
        <f t="shared" si="0"/>
        <v>1</v>
      </c>
      <c r="E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0.83067503902514195</v>
      </c>
      <c r="F31" s="90">
        <f>IF(ISBLANK('Nutritional status distribution'!$E$4),0.85, (0.85*SUM('Nutritional status distribution'!$E$4:$E$5)/(1-0.85*SUM('Nutritional status distribution'!$E$4:$E$5)))/ (SUM('Nutritional status distribution'!$E$4:$E$5)/(1-SUM('Nutritional status distribution'!$E$4:$E$5))))</f>
        <v>0.83067503902514195</v>
      </c>
      <c r="G31" s="90">
        <f>IF(G8=1,1,G8*0.9)</f>
        <v>1</v>
      </c>
    </row>
    <row r="32" spans="1:7" x14ac:dyDescent="0.25">
      <c r="B32" s="5" t="s">
        <v>298</v>
      </c>
      <c r="C32" s="90">
        <f t="shared" si="0"/>
        <v>1</v>
      </c>
      <c r="D32" s="90">
        <f t="shared" si="0"/>
        <v>1</v>
      </c>
      <c r="E32" s="90">
        <f>IF(E9=1,1,E9*0.9)</f>
        <v>1</v>
      </c>
      <c r="F32" s="90">
        <f>IF(F9=1,1,F9*0.9)</f>
        <v>1</v>
      </c>
      <c r="G32" s="90">
        <f>IF(G9=1,1,G9*0.9)</f>
        <v>1</v>
      </c>
    </row>
    <row r="33" spans="1:7" x14ac:dyDescent="0.25">
      <c r="B33" s="5"/>
      <c r="C33" s="5"/>
      <c r="D33" s="5"/>
      <c r="E33" s="5"/>
      <c r="F33" s="5"/>
      <c r="G33" s="5"/>
    </row>
    <row r="34" spans="1:7" ht="13" customHeight="1" x14ac:dyDescent="0.3">
      <c r="A34" s="67" t="s">
        <v>299</v>
      </c>
      <c r="B34" s="68"/>
      <c r="C34" s="68"/>
      <c r="D34" s="68"/>
      <c r="E34" s="68"/>
      <c r="F34" s="68"/>
      <c r="G34" s="68"/>
    </row>
    <row r="35" spans="1:7" ht="13" customHeight="1" x14ac:dyDescent="0.3">
      <c r="A35" s="14"/>
      <c r="B35" s="11" t="s">
        <v>300</v>
      </c>
      <c r="C35" s="90">
        <f>C12*0.9</f>
        <v>1.35</v>
      </c>
      <c r="D35" s="90">
        <f>D12*0.9</f>
        <v>1.2509999999999999</v>
      </c>
      <c r="E35" s="90">
        <v>1</v>
      </c>
      <c r="F35" s="90">
        <v>1</v>
      </c>
      <c r="G35" s="90">
        <v>1</v>
      </c>
    </row>
    <row r="36" spans="1:7" ht="13" customHeight="1" x14ac:dyDescent="0.3">
      <c r="A36" s="14"/>
      <c r="B36" s="11"/>
    </row>
    <row r="37" spans="1:7" ht="13" customHeight="1" x14ac:dyDescent="0.3">
      <c r="A37" s="67" t="s">
        <v>287</v>
      </c>
      <c r="B37" s="68"/>
      <c r="C37" s="68"/>
      <c r="D37" s="68"/>
      <c r="E37" s="68"/>
      <c r="F37" s="68"/>
      <c r="G37" s="68"/>
    </row>
    <row r="38" spans="1:7" ht="13" customHeight="1" x14ac:dyDescent="0.3">
      <c r="A38" s="82" t="s">
        <v>272</v>
      </c>
      <c r="B38" s="5" t="s">
        <v>301</v>
      </c>
      <c r="C38" s="90">
        <f t="shared" ref="C38:G40" si="1">IF(C15=1,1,C15*0.9)</f>
        <v>0.92249999999999999</v>
      </c>
      <c r="D38" s="90">
        <f t="shared" si="1"/>
        <v>0.92249999999999999</v>
      </c>
      <c r="E38" s="90">
        <f t="shared" si="1"/>
        <v>0.92249999999999999</v>
      </c>
      <c r="F38" s="90">
        <f t="shared" si="1"/>
        <v>0.92249999999999999</v>
      </c>
      <c r="G38" s="90">
        <f t="shared" si="1"/>
        <v>0.92249999999999999</v>
      </c>
    </row>
    <row r="39" spans="1:7" ht="13" customHeight="1" x14ac:dyDescent="0.3">
      <c r="A39" s="4"/>
      <c r="B39" s="5" t="s">
        <v>302</v>
      </c>
      <c r="C39" s="90">
        <f t="shared" si="1"/>
        <v>0.92249999999999999</v>
      </c>
      <c r="D39" s="90">
        <f t="shared" si="1"/>
        <v>0.92249999999999999</v>
      </c>
      <c r="E39" s="90">
        <f t="shared" si="1"/>
        <v>0.92249999999999999</v>
      </c>
      <c r="F39" s="90">
        <f t="shared" si="1"/>
        <v>0.92249999999999999</v>
      </c>
      <c r="G39" s="90">
        <f t="shared" si="1"/>
        <v>0.92249999999999999</v>
      </c>
    </row>
    <row r="40" spans="1:7" ht="13" customHeight="1" x14ac:dyDescent="0.3">
      <c r="A40" s="82" t="s">
        <v>111</v>
      </c>
      <c r="B40" s="11" t="s">
        <v>303</v>
      </c>
      <c r="C40" s="90">
        <f t="shared" si="1"/>
        <v>1</v>
      </c>
      <c r="D40" s="90">
        <f t="shared" si="1"/>
        <v>1</v>
      </c>
      <c r="E40" s="90">
        <f t="shared" si="1"/>
        <v>1</v>
      </c>
      <c r="F40" s="90">
        <f t="shared" si="1"/>
        <v>1</v>
      </c>
      <c r="G40" s="90">
        <f t="shared" si="1"/>
        <v>1</v>
      </c>
    </row>
    <row r="42" spans="1:7" ht="13" customHeight="1" x14ac:dyDescent="0.3">
      <c r="A42" s="67" t="s">
        <v>304</v>
      </c>
      <c r="B42" s="68"/>
      <c r="C42" s="68"/>
      <c r="D42" s="68"/>
      <c r="E42" s="68"/>
      <c r="F42" s="68"/>
      <c r="G42" s="68"/>
    </row>
    <row r="43" spans="1:7" ht="13" customHeight="1" x14ac:dyDescent="0.3">
      <c r="A43" s="14"/>
      <c r="B43" s="14"/>
      <c r="C43" s="4" t="s">
        <v>58</v>
      </c>
      <c r="D43" s="4" t="s">
        <v>59</v>
      </c>
      <c r="E43" s="4" t="s">
        <v>60</v>
      </c>
      <c r="F43" s="4" t="s">
        <v>61</v>
      </c>
      <c r="G43" s="14"/>
    </row>
    <row r="44" spans="1:7" x14ac:dyDescent="0.25">
      <c r="B44" s="11" t="s">
        <v>305</v>
      </c>
      <c r="C44" s="90">
        <f>C21*0.9</f>
        <v>1.3680000000000001</v>
      </c>
      <c r="D44" s="90">
        <v>1</v>
      </c>
      <c r="E44" s="90">
        <v>1</v>
      </c>
      <c r="F44" s="90">
        <v>1</v>
      </c>
    </row>
    <row r="46" spans="1:7" s="92" customFormat="1" ht="13" customHeight="1" x14ac:dyDescent="0.3">
      <c r="A46" s="92" t="s">
        <v>239</v>
      </c>
    </row>
    <row r="47" spans="1:7" ht="13" customHeight="1" x14ac:dyDescent="0.3">
      <c r="A47" s="67" t="s">
        <v>281</v>
      </c>
      <c r="B47" s="68"/>
      <c r="C47" s="68"/>
      <c r="D47" s="68"/>
      <c r="E47" s="68"/>
      <c r="F47" s="68"/>
      <c r="G47" s="68"/>
    </row>
    <row r="48" spans="1:7" ht="13" customHeight="1" x14ac:dyDescent="0.3">
      <c r="A48" s="82" t="s">
        <v>203</v>
      </c>
      <c r="B48" s="1"/>
      <c r="C48" s="4" t="s">
        <v>67</v>
      </c>
      <c r="D48" s="4" t="s">
        <v>77</v>
      </c>
      <c r="E48" s="4" t="s">
        <v>78</v>
      </c>
      <c r="F48" s="4" t="s">
        <v>79</v>
      </c>
      <c r="G48" s="4" t="s">
        <v>80</v>
      </c>
    </row>
    <row r="49" spans="1:7" x14ac:dyDescent="0.25">
      <c r="B49" s="11" t="s">
        <v>306</v>
      </c>
      <c r="C49" s="90" t="s">
        <v>283</v>
      </c>
      <c r="D49" s="90">
        <f t="shared" ref="D49:G50" si="2">D3*1.05</f>
        <v>47.25</v>
      </c>
      <c r="E49" s="90">
        <f t="shared" si="2"/>
        <v>379.68000000000006</v>
      </c>
      <c r="F49" s="90">
        <f t="shared" si="2"/>
        <v>183.435</v>
      </c>
      <c r="G49" s="90">
        <f t="shared" si="2"/>
        <v>183.435</v>
      </c>
    </row>
    <row r="50" spans="1:7" ht="13" customHeight="1" x14ac:dyDescent="0.3">
      <c r="A50" s="4"/>
      <c r="B50" s="5" t="s">
        <v>307</v>
      </c>
      <c r="C50" s="90">
        <f>C4*1.05</f>
        <v>1.0762499999999999</v>
      </c>
      <c r="D50" s="90">
        <f t="shared" si="2"/>
        <v>1.0762499999999999</v>
      </c>
      <c r="E50" s="90">
        <f t="shared" si="2"/>
        <v>1.0762499999999999</v>
      </c>
      <c r="F50" s="90">
        <f t="shared" si="2"/>
        <v>1.0762499999999999</v>
      </c>
      <c r="G50" s="90">
        <f t="shared" si="2"/>
        <v>1.0762499999999999</v>
      </c>
    </row>
    <row r="51" spans="1:7" ht="13" customHeight="1" x14ac:dyDescent="0.3">
      <c r="A51" s="14" t="s">
        <v>308</v>
      </c>
    </row>
    <row r="52" spans="1:7" x14ac:dyDescent="0.25">
      <c r="B52" s="5" t="s">
        <v>309</v>
      </c>
      <c r="C52" s="90">
        <f t="shared" ref="C52:D55" si="3">IF(C6=1,1,C6*1.1)</f>
        <v>1</v>
      </c>
      <c r="D52" s="90">
        <f t="shared" si="3"/>
        <v>1</v>
      </c>
      <c r="E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0.90872494567302253</v>
      </c>
      <c r="F52" s="90">
        <f>IF(ISBLANK('Nutritional status distribution'!$E$4),0.92, (0.92*SUM('Nutritional status distribution'!$E$4:$E$5)/(1-0.92*SUM('Nutritional status distribution'!$E$4:$E$5)))/ (SUM('Nutritional status distribution'!$E$4:$E$5)/(1-SUM('Nutritional status distribution'!$E$4:$E$5))))</f>
        <v>0.90872494567302253</v>
      </c>
      <c r="G52" s="90">
        <f>IF(G6=1,1,G6*1.1)</f>
        <v>1</v>
      </c>
    </row>
    <row r="53" spans="1:7" x14ac:dyDescent="0.25">
      <c r="B53" s="5" t="s">
        <v>310</v>
      </c>
      <c r="C53" s="90">
        <f t="shared" si="3"/>
        <v>1</v>
      </c>
      <c r="D53" s="90">
        <f t="shared" si="3"/>
        <v>1</v>
      </c>
      <c r="E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0.89747262932703331</v>
      </c>
      <c r="F53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0.89747262932703331</v>
      </c>
      <c r="G53" s="90">
        <f>IF(G7=1,1,G7*1.1)</f>
        <v>1</v>
      </c>
    </row>
    <row r="54" spans="1:7" x14ac:dyDescent="0.25">
      <c r="B54" s="5" t="s">
        <v>311</v>
      </c>
      <c r="C54" s="90">
        <f t="shared" si="3"/>
        <v>1</v>
      </c>
      <c r="D54" s="90">
        <f t="shared" si="3"/>
        <v>1</v>
      </c>
      <c r="E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0.89747262932703331</v>
      </c>
      <c r="F54" s="90">
        <f>IF(ISBLANK('Nutritional status distribution'!$E$4),0.91, (0.91*SUM('Nutritional status distribution'!$E$4:$E$5)/(1-0.91*SUM('Nutritional status distribution'!$E$4:$E$5)))/ (SUM('Nutritional status distribution'!$E$4:$E$5)/(1-SUM('Nutritional status distribution'!$E$4:$E$5))))</f>
        <v>0.89747262932703331</v>
      </c>
      <c r="G54" s="90">
        <f>IF(G8=1,1,G8*1.1)</f>
        <v>1</v>
      </c>
    </row>
    <row r="55" spans="1:7" x14ac:dyDescent="0.25">
      <c r="B55" s="5" t="s">
        <v>312</v>
      </c>
      <c r="C55" s="90">
        <f t="shared" si="3"/>
        <v>1</v>
      </c>
      <c r="D55" s="90">
        <f t="shared" si="3"/>
        <v>1</v>
      </c>
      <c r="E55" s="90">
        <f>IF(E9=1,1,E9*1.1)</f>
        <v>1</v>
      </c>
      <c r="F55" s="90">
        <f>IF(F9=1,1,F9*1.1)</f>
        <v>1</v>
      </c>
      <c r="G55" s="90">
        <f>IF(G9=1,1,G9*1.1)</f>
        <v>1</v>
      </c>
    </row>
    <row r="56" spans="1:7" x14ac:dyDescent="0.25">
      <c r="B56" s="5"/>
      <c r="C56" s="5"/>
      <c r="D56" s="5"/>
      <c r="E56" s="5"/>
      <c r="F56" s="5"/>
      <c r="G56" s="5"/>
    </row>
    <row r="57" spans="1:7" ht="13" customHeight="1" x14ac:dyDescent="0.3">
      <c r="A57" s="67" t="s">
        <v>313</v>
      </c>
      <c r="B57" s="68"/>
      <c r="C57" s="68"/>
      <c r="D57" s="68"/>
      <c r="E57" s="68"/>
      <c r="F57" s="68"/>
      <c r="G57" s="68"/>
    </row>
    <row r="58" spans="1:7" ht="13" customHeight="1" x14ac:dyDescent="0.3">
      <c r="A58" s="14"/>
      <c r="B58" s="11" t="s">
        <v>314</v>
      </c>
      <c r="C58" s="90">
        <f>C12*1.1</f>
        <v>1.6500000000000001</v>
      </c>
      <c r="D58" s="90">
        <f>D12*1.1</f>
        <v>1.5289999999999999</v>
      </c>
      <c r="E58" s="90">
        <v>1</v>
      </c>
      <c r="F58" s="90">
        <v>1</v>
      </c>
      <c r="G58" s="90">
        <v>1</v>
      </c>
    </row>
    <row r="59" spans="1:7" ht="13" customHeight="1" x14ac:dyDescent="0.3">
      <c r="A59" s="14"/>
      <c r="B59" s="11"/>
    </row>
    <row r="60" spans="1:7" ht="13" customHeight="1" x14ac:dyDescent="0.3">
      <c r="A60" s="67" t="s">
        <v>287</v>
      </c>
      <c r="B60" s="68"/>
      <c r="C60" s="68"/>
      <c r="D60" s="68"/>
      <c r="E60" s="68"/>
      <c r="F60" s="68"/>
      <c r="G60" s="68"/>
    </row>
    <row r="61" spans="1:7" ht="13" customHeight="1" x14ac:dyDescent="0.3">
      <c r="A61" s="82" t="s">
        <v>272</v>
      </c>
      <c r="B61" s="5" t="s">
        <v>315</v>
      </c>
      <c r="C61" s="90">
        <f t="shared" ref="C61:G63" si="4">IF(C15=1,1,C15*1.1)</f>
        <v>1.1274999999999999</v>
      </c>
      <c r="D61" s="90">
        <f t="shared" si="4"/>
        <v>1.1274999999999999</v>
      </c>
      <c r="E61" s="90">
        <f t="shared" si="4"/>
        <v>1.1274999999999999</v>
      </c>
      <c r="F61" s="90">
        <f t="shared" si="4"/>
        <v>1.1274999999999999</v>
      </c>
      <c r="G61" s="90">
        <f t="shared" si="4"/>
        <v>1.1274999999999999</v>
      </c>
    </row>
    <row r="62" spans="1:7" ht="13" customHeight="1" x14ac:dyDescent="0.3">
      <c r="A62" s="4"/>
      <c r="B62" s="5" t="s">
        <v>316</v>
      </c>
      <c r="C62" s="90">
        <f t="shared" si="4"/>
        <v>1.1274999999999999</v>
      </c>
      <c r="D62" s="90">
        <f t="shared" si="4"/>
        <v>1.1274999999999999</v>
      </c>
      <c r="E62" s="90">
        <f t="shared" si="4"/>
        <v>1.1274999999999999</v>
      </c>
      <c r="F62" s="90">
        <f t="shared" si="4"/>
        <v>1.1274999999999999</v>
      </c>
      <c r="G62" s="90">
        <f t="shared" si="4"/>
        <v>1.1274999999999999</v>
      </c>
    </row>
    <row r="63" spans="1:7" ht="13" customHeight="1" x14ac:dyDescent="0.3">
      <c r="A63" s="82" t="s">
        <v>111</v>
      </c>
      <c r="B63" s="11" t="s">
        <v>317</v>
      </c>
      <c r="C63" s="90">
        <f t="shared" si="4"/>
        <v>1</v>
      </c>
      <c r="D63" s="90">
        <f t="shared" si="4"/>
        <v>1</v>
      </c>
      <c r="E63" s="90">
        <f t="shared" si="4"/>
        <v>1</v>
      </c>
      <c r="F63" s="90">
        <f t="shared" si="4"/>
        <v>1</v>
      </c>
      <c r="G63" s="90">
        <f t="shared" si="4"/>
        <v>1</v>
      </c>
    </row>
    <row r="65" spans="1:7" ht="13" customHeight="1" x14ac:dyDescent="0.3">
      <c r="A65" s="67" t="s">
        <v>318</v>
      </c>
      <c r="B65" s="68"/>
      <c r="C65" s="68"/>
      <c r="D65" s="68"/>
      <c r="E65" s="68"/>
      <c r="F65" s="68"/>
      <c r="G65" s="68"/>
    </row>
    <row r="66" spans="1:7" ht="13" customHeight="1" x14ac:dyDescent="0.3">
      <c r="A66" s="14"/>
      <c r="B66" s="14"/>
      <c r="C66" s="4" t="s">
        <v>58</v>
      </c>
      <c r="D66" s="4" t="s">
        <v>59</v>
      </c>
      <c r="E66" s="4" t="s">
        <v>60</v>
      </c>
      <c r="F66" s="4" t="s">
        <v>61</v>
      </c>
      <c r="G66" s="14"/>
    </row>
    <row r="67" spans="1:7" x14ac:dyDescent="0.25">
      <c r="B67" s="11" t="s">
        <v>319</v>
      </c>
      <c r="C67" s="90">
        <f>C21*1.1</f>
        <v>1.6720000000000002</v>
      </c>
      <c r="D67" s="90">
        <v>1</v>
      </c>
      <c r="E67" s="90">
        <v>1</v>
      </c>
      <c r="F67" s="90">
        <v>1</v>
      </c>
    </row>
  </sheetData>
  <sheetProtection algorithmName="SHA-512" hashValue="1xemoVCIIreQagjJVMiWyNhVvhvUOQg9OHEcTVo7hqskVIqwoAD69fIkJm9ydgZV80dF5M+GUJbtCBcIeyGGxA==" saltValue="hzR3b6BMf8xRAQYoVw4dZ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D12" sqref="D12"/>
    </sheetView>
  </sheetViews>
  <sheetFormatPr defaultColWidth="16.08984375" defaultRowHeight="15.75" customHeight="1" x14ac:dyDescent="0.25"/>
  <cols>
    <col min="1" max="1" width="52.1796875" style="8" customWidth="1"/>
    <col min="2" max="6" width="16.08984375" style="8" customWidth="1"/>
    <col min="7" max="7" width="17.1796875" style="8" customWidth="1"/>
    <col min="8" max="9" width="16.08984375" style="8" customWidth="1"/>
    <col min="10" max="16384" width="16.08984375" style="8"/>
  </cols>
  <sheetData>
    <row r="1" spans="1:6" ht="15.75" customHeight="1" x14ac:dyDescent="0.3">
      <c r="A1" s="1" t="s">
        <v>156</v>
      </c>
      <c r="B1" s="4"/>
      <c r="C1" s="4" t="s">
        <v>40</v>
      </c>
      <c r="D1" s="4" t="s">
        <v>42</v>
      </c>
      <c r="E1" s="4" t="s">
        <v>41</v>
      </c>
      <c r="F1" s="1" t="s">
        <v>43</v>
      </c>
    </row>
    <row r="2" spans="1:6" ht="15.75" customHeight="1" x14ac:dyDescent="0.25">
      <c r="A2" s="5" t="s">
        <v>166</v>
      </c>
      <c r="B2" s="5" t="s">
        <v>320</v>
      </c>
      <c r="C2" s="90">
        <v>0.71</v>
      </c>
      <c r="D2" s="90">
        <v>0.71</v>
      </c>
      <c r="E2" s="90">
        <v>0</v>
      </c>
      <c r="F2" s="90">
        <v>0</v>
      </c>
    </row>
    <row r="3" spans="1:6" ht="15.75" customHeight="1" x14ac:dyDescent="0.25">
      <c r="A3" s="5"/>
      <c r="B3" s="5" t="s">
        <v>321</v>
      </c>
      <c r="C3" s="90">
        <v>1</v>
      </c>
      <c r="D3" s="90">
        <v>1</v>
      </c>
      <c r="E3" s="90">
        <v>1</v>
      </c>
      <c r="F3" s="90">
        <v>1</v>
      </c>
    </row>
    <row r="4" spans="1:6" ht="15.75" customHeight="1" x14ac:dyDescent="0.25">
      <c r="A4" s="5" t="s">
        <v>179</v>
      </c>
      <c r="B4" s="5" t="s">
        <v>320</v>
      </c>
      <c r="C4" s="90">
        <v>0.39</v>
      </c>
      <c r="D4" s="90">
        <v>0.39</v>
      </c>
      <c r="E4" s="90">
        <v>0</v>
      </c>
      <c r="F4" s="90">
        <v>0</v>
      </c>
    </row>
    <row r="5" spans="1:6" ht="15.75" customHeight="1" x14ac:dyDescent="0.25">
      <c r="A5" s="5"/>
      <c r="B5" s="5" t="s">
        <v>321</v>
      </c>
      <c r="C5" s="90">
        <v>1</v>
      </c>
      <c r="D5" s="90">
        <v>1</v>
      </c>
      <c r="E5" s="90">
        <v>1</v>
      </c>
      <c r="F5" s="90">
        <v>1</v>
      </c>
    </row>
    <row r="6" spans="1:6" ht="15.75" customHeight="1" x14ac:dyDescent="0.25">
      <c r="A6" s="5" t="s">
        <v>180</v>
      </c>
      <c r="B6" s="5" t="s">
        <v>320</v>
      </c>
      <c r="C6" s="90">
        <v>0.39</v>
      </c>
      <c r="D6" s="90">
        <v>0.39</v>
      </c>
      <c r="E6" s="90">
        <v>0</v>
      </c>
      <c r="F6" s="90">
        <v>0</v>
      </c>
    </row>
    <row r="7" spans="1:6" ht="15.75" customHeight="1" x14ac:dyDescent="0.25">
      <c r="A7" s="5"/>
      <c r="B7" s="5" t="s">
        <v>321</v>
      </c>
      <c r="C7" s="90">
        <v>1</v>
      </c>
      <c r="D7" s="90">
        <v>1</v>
      </c>
      <c r="E7" s="90">
        <v>1</v>
      </c>
      <c r="F7" s="90">
        <v>1</v>
      </c>
    </row>
    <row r="8" spans="1:6" ht="15.75" customHeight="1" x14ac:dyDescent="0.25">
      <c r="A8" s="5" t="s">
        <v>181</v>
      </c>
      <c r="B8" s="5" t="s">
        <v>320</v>
      </c>
      <c r="C8" s="90">
        <v>0.35</v>
      </c>
      <c r="D8" s="90">
        <v>0.35</v>
      </c>
      <c r="E8" s="90">
        <v>0</v>
      </c>
      <c r="F8" s="90">
        <v>0</v>
      </c>
    </row>
    <row r="9" spans="1:6" ht="15.75" customHeight="1" x14ac:dyDescent="0.25">
      <c r="A9" s="5"/>
      <c r="B9" s="5" t="s">
        <v>321</v>
      </c>
      <c r="C9" s="90">
        <v>1</v>
      </c>
      <c r="D9" s="90">
        <v>1</v>
      </c>
      <c r="E9" s="90">
        <v>0</v>
      </c>
      <c r="F9" s="90">
        <v>0</v>
      </c>
    </row>
    <row r="10" spans="1:6" ht="15.75" customHeight="1" x14ac:dyDescent="0.25">
      <c r="A10" s="5" t="s">
        <v>185</v>
      </c>
      <c r="B10" s="5" t="s">
        <v>320</v>
      </c>
      <c r="C10" s="90">
        <v>0.35</v>
      </c>
      <c r="D10" s="90">
        <v>0.35</v>
      </c>
      <c r="E10" s="90">
        <v>0</v>
      </c>
      <c r="F10" s="90">
        <v>0</v>
      </c>
    </row>
    <row r="11" spans="1:6" ht="15.75" customHeight="1" x14ac:dyDescent="0.25">
      <c r="A11" s="5"/>
      <c r="B11" s="5" t="s">
        <v>321</v>
      </c>
      <c r="C11" s="90">
        <v>1</v>
      </c>
      <c r="D11" s="90">
        <v>1</v>
      </c>
      <c r="E11" s="90">
        <v>0</v>
      </c>
      <c r="F11" s="90">
        <v>0</v>
      </c>
    </row>
    <row r="12" spans="1:6" ht="15.75" customHeight="1" x14ac:dyDescent="0.25">
      <c r="A12" s="5" t="s">
        <v>189</v>
      </c>
      <c r="B12" s="5" t="s">
        <v>320</v>
      </c>
      <c r="C12" s="90">
        <f>0.93*C4</f>
        <v>0.36270000000000002</v>
      </c>
      <c r="D12" s="90">
        <f>0.93*D4</f>
        <v>0.36270000000000002</v>
      </c>
      <c r="E12" s="90">
        <v>0</v>
      </c>
      <c r="F12" s="90">
        <v>0</v>
      </c>
    </row>
    <row r="13" spans="1:6" ht="15.75" customHeight="1" x14ac:dyDescent="0.25">
      <c r="A13" s="5"/>
      <c r="B13" s="5" t="s">
        <v>321</v>
      </c>
      <c r="C13" s="90">
        <v>1</v>
      </c>
      <c r="D13" s="90">
        <v>1</v>
      </c>
      <c r="E13" s="90">
        <v>1</v>
      </c>
      <c r="F13" s="90">
        <v>1</v>
      </c>
    </row>
    <row r="15" spans="1:6" s="92" customFormat="1" ht="15.75" customHeight="1" x14ac:dyDescent="0.3">
      <c r="A15" s="92" t="s">
        <v>235</v>
      </c>
    </row>
    <row r="16" spans="1:6" ht="15.75" customHeight="1" x14ac:dyDescent="0.3">
      <c r="A16" s="1" t="s">
        <v>156</v>
      </c>
      <c r="B16" s="4"/>
      <c r="C16" s="4" t="s">
        <v>40</v>
      </c>
      <c r="D16" s="4" t="s">
        <v>42</v>
      </c>
      <c r="E16" s="4" t="s">
        <v>41</v>
      </c>
      <c r="F16" s="1" t="s">
        <v>43</v>
      </c>
    </row>
    <row r="17" spans="1:6" ht="15.75" customHeight="1" x14ac:dyDescent="0.25">
      <c r="A17" s="5" t="s">
        <v>166</v>
      </c>
      <c r="B17" s="5" t="s">
        <v>320</v>
      </c>
      <c r="C17" s="90">
        <v>0.54</v>
      </c>
      <c r="D17" s="90">
        <v>0.54</v>
      </c>
      <c r="E17" s="90">
        <f>E2*0.9</f>
        <v>0</v>
      </c>
      <c r="F17" s="90">
        <f>F2*0.9</f>
        <v>0</v>
      </c>
    </row>
    <row r="18" spans="1:6" ht="15.75" customHeight="1" x14ac:dyDescent="0.25">
      <c r="A18" s="5"/>
      <c r="B18" s="5" t="s">
        <v>321</v>
      </c>
      <c r="C18" s="90">
        <v>1</v>
      </c>
      <c r="D18" s="90">
        <v>1</v>
      </c>
      <c r="E18" s="90">
        <v>1</v>
      </c>
      <c r="F18" s="90">
        <v>1</v>
      </c>
    </row>
    <row r="19" spans="1:6" ht="15.75" customHeight="1" x14ac:dyDescent="0.25">
      <c r="A19" s="5" t="s">
        <v>179</v>
      </c>
      <c r="B19" s="5" t="s">
        <v>320</v>
      </c>
      <c r="C19" s="90">
        <v>0.17</v>
      </c>
      <c r="D19" s="90">
        <v>0.17</v>
      </c>
      <c r="E19" s="90">
        <f>E4*0.9</f>
        <v>0</v>
      </c>
      <c r="F19" s="90">
        <f>F4*0.9</f>
        <v>0</v>
      </c>
    </row>
    <row r="20" spans="1:6" ht="15.75" customHeight="1" x14ac:dyDescent="0.25">
      <c r="A20" s="5"/>
      <c r="B20" s="5" t="s">
        <v>321</v>
      </c>
      <c r="C20" s="90">
        <v>1</v>
      </c>
      <c r="D20" s="90">
        <v>1</v>
      </c>
      <c r="E20" s="90">
        <v>1</v>
      </c>
      <c r="F20" s="90">
        <v>1</v>
      </c>
    </row>
    <row r="21" spans="1:6" ht="15.75" customHeight="1" x14ac:dyDescent="0.25">
      <c r="A21" s="5" t="s">
        <v>180</v>
      </c>
      <c r="B21" s="5" t="s">
        <v>320</v>
      </c>
      <c r="C21" s="90">
        <v>0.17</v>
      </c>
      <c r="D21" s="90">
        <v>0.17</v>
      </c>
      <c r="E21" s="90">
        <f>E6*0.9</f>
        <v>0</v>
      </c>
      <c r="F21" s="90">
        <f>F6*0.9</f>
        <v>0</v>
      </c>
    </row>
    <row r="22" spans="1:6" ht="15.75" customHeight="1" x14ac:dyDescent="0.25">
      <c r="A22" s="5"/>
      <c r="B22" s="5" t="s">
        <v>321</v>
      </c>
      <c r="C22" s="90">
        <v>1</v>
      </c>
      <c r="D22" s="90">
        <v>1</v>
      </c>
      <c r="E22" s="90">
        <v>1</v>
      </c>
      <c r="F22" s="90">
        <v>1</v>
      </c>
    </row>
    <row r="23" spans="1:6" ht="15.75" customHeight="1" x14ac:dyDescent="0.25">
      <c r="A23" s="5" t="s">
        <v>181</v>
      </c>
      <c r="B23" s="5" t="s">
        <v>320</v>
      </c>
      <c r="C23" s="90">
        <f>C10*0.9</f>
        <v>0.315</v>
      </c>
      <c r="D23" s="90">
        <f>D10*0.9</f>
        <v>0.315</v>
      </c>
      <c r="E23" s="90">
        <f>E10*0.9</f>
        <v>0</v>
      </c>
      <c r="F23" s="90">
        <f>F10*0.9</f>
        <v>0</v>
      </c>
    </row>
    <row r="24" spans="1:6" ht="15.75" customHeight="1" x14ac:dyDescent="0.25">
      <c r="A24" s="5"/>
      <c r="B24" s="5" t="s">
        <v>321</v>
      </c>
      <c r="C24" s="90">
        <v>1</v>
      </c>
      <c r="D24" s="90">
        <v>1</v>
      </c>
      <c r="E24" s="90">
        <v>1</v>
      </c>
      <c r="F24" s="90">
        <v>1</v>
      </c>
    </row>
    <row r="25" spans="1:6" ht="15.75" customHeight="1" x14ac:dyDescent="0.25">
      <c r="A25" s="5" t="s">
        <v>185</v>
      </c>
      <c r="B25" s="5" t="s">
        <v>320</v>
      </c>
      <c r="C25" s="90">
        <f>C10*0.9</f>
        <v>0.315</v>
      </c>
      <c r="D25" s="90">
        <f>D10*0.9</f>
        <v>0.315</v>
      </c>
      <c r="E25" s="90">
        <f>E10*0.9</f>
        <v>0</v>
      </c>
      <c r="F25" s="90">
        <f>F10*0.9</f>
        <v>0</v>
      </c>
    </row>
    <row r="26" spans="1:6" ht="15.75" customHeight="1" x14ac:dyDescent="0.25">
      <c r="A26" s="5"/>
      <c r="B26" s="5" t="s">
        <v>321</v>
      </c>
      <c r="C26" s="90">
        <v>1</v>
      </c>
      <c r="D26" s="90">
        <v>1</v>
      </c>
      <c r="E26" s="90">
        <v>1</v>
      </c>
      <c r="F26" s="90">
        <v>1</v>
      </c>
    </row>
    <row r="27" spans="1:6" ht="15.75" customHeight="1" x14ac:dyDescent="0.25">
      <c r="A27" s="5" t="s">
        <v>189</v>
      </c>
      <c r="B27" s="5" t="s">
        <v>320</v>
      </c>
      <c r="C27" s="90">
        <f>0.93*C19</f>
        <v>0.15810000000000002</v>
      </c>
      <c r="D27" s="90">
        <f>0.93*D19</f>
        <v>0.15810000000000002</v>
      </c>
      <c r="E27" s="90">
        <f>E12*0.9</f>
        <v>0</v>
      </c>
      <c r="F27" s="90">
        <f>F12*0.9</f>
        <v>0</v>
      </c>
    </row>
    <row r="28" spans="1:6" ht="15.75" customHeight="1" x14ac:dyDescent="0.25">
      <c r="A28" s="5"/>
      <c r="B28" s="5" t="s">
        <v>321</v>
      </c>
      <c r="C28" s="90">
        <v>1</v>
      </c>
      <c r="D28" s="90">
        <v>1</v>
      </c>
      <c r="E28" s="90">
        <v>1</v>
      </c>
      <c r="F28" s="90">
        <v>1</v>
      </c>
    </row>
    <row r="30" spans="1:6" s="92" customFormat="1" ht="15.75" customHeight="1" x14ac:dyDescent="0.3">
      <c r="A30" s="92" t="s">
        <v>239</v>
      </c>
    </row>
    <row r="31" spans="1:6" ht="15.75" customHeight="1" x14ac:dyDescent="0.3">
      <c r="A31" s="1" t="s">
        <v>156</v>
      </c>
      <c r="B31" s="4"/>
      <c r="C31" s="4" t="s">
        <v>40</v>
      </c>
      <c r="D31" s="4" t="s">
        <v>42</v>
      </c>
      <c r="E31" s="4" t="s">
        <v>41</v>
      </c>
      <c r="F31" s="1" t="s">
        <v>43</v>
      </c>
    </row>
    <row r="32" spans="1:6" ht="15.75" customHeight="1" x14ac:dyDescent="0.25">
      <c r="A32" s="5" t="s">
        <v>166</v>
      </c>
      <c r="B32" s="5" t="s">
        <v>320</v>
      </c>
      <c r="C32" s="90">
        <v>0.94</v>
      </c>
      <c r="D32" s="90">
        <v>0.94</v>
      </c>
      <c r="E32" s="90">
        <f>E2*1.1</f>
        <v>0</v>
      </c>
      <c r="F32" s="90">
        <f>F2*1.1</f>
        <v>0</v>
      </c>
    </row>
    <row r="33" spans="1:6" ht="15.75" customHeight="1" x14ac:dyDescent="0.25">
      <c r="A33" s="5"/>
      <c r="B33" s="5" t="s">
        <v>321</v>
      </c>
      <c r="C33" s="90">
        <v>1</v>
      </c>
      <c r="D33" s="90">
        <v>1</v>
      </c>
      <c r="E33" s="90">
        <v>1</v>
      </c>
      <c r="F33" s="90">
        <v>1</v>
      </c>
    </row>
    <row r="34" spans="1:6" ht="15.75" customHeight="1" x14ac:dyDescent="0.25">
      <c r="A34" s="5" t="s">
        <v>179</v>
      </c>
      <c r="B34" s="5" t="s">
        <v>320</v>
      </c>
      <c r="C34" s="90">
        <v>0.86</v>
      </c>
      <c r="D34" s="90">
        <v>0.86</v>
      </c>
      <c r="E34" s="90">
        <f>E4*1.1</f>
        <v>0</v>
      </c>
      <c r="F34" s="90">
        <f>F4*1.1</f>
        <v>0</v>
      </c>
    </row>
    <row r="35" spans="1:6" ht="15.75" customHeight="1" x14ac:dyDescent="0.25">
      <c r="A35" s="5"/>
      <c r="B35" s="5" t="s">
        <v>321</v>
      </c>
      <c r="C35" s="90">
        <v>1</v>
      </c>
      <c r="D35" s="90">
        <v>1</v>
      </c>
      <c r="E35" s="90">
        <v>1</v>
      </c>
      <c r="F35" s="90">
        <v>1</v>
      </c>
    </row>
    <row r="36" spans="1:6" ht="15.75" customHeight="1" x14ac:dyDescent="0.25">
      <c r="A36" s="5" t="s">
        <v>180</v>
      </c>
      <c r="B36" s="5" t="s">
        <v>320</v>
      </c>
      <c r="C36" s="90">
        <f>C6*1.1</f>
        <v>0.42900000000000005</v>
      </c>
      <c r="D36" s="90">
        <f>D6*1.1</f>
        <v>0.42900000000000005</v>
      </c>
      <c r="E36" s="90">
        <f>E6*1.1</f>
        <v>0</v>
      </c>
      <c r="F36" s="90">
        <f>F6*1.1</f>
        <v>0</v>
      </c>
    </row>
    <row r="37" spans="1:6" ht="15.75" customHeight="1" x14ac:dyDescent="0.25">
      <c r="A37" s="5"/>
      <c r="B37" s="5" t="s">
        <v>321</v>
      </c>
      <c r="C37" s="90">
        <v>1</v>
      </c>
      <c r="D37" s="90">
        <v>1</v>
      </c>
      <c r="E37" s="90">
        <v>1</v>
      </c>
      <c r="F37" s="90">
        <v>1</v>
      </c>
    </row>
    <row r="38" spans="1:6" ht="15.75" customHeight="1" x14ac:dyDescent="0.25">
      <c r="A38" s="5" t="s">
        <v>181</v>
      </c>
      <c r="B38" s="5" t="s">
        <v>320</v>
      </c>
      <c r="C38" s="90">
        <f>C8*1.1</f>
        <v>0.38500000000000001</v>
      </c>
      <c r="D38" s="90">
        <f>D8*1.1</f>
        <v>0.38500000000000001</v>
      </c>
      <c r="E38" s="90">
        <f>E8*1.1</f>
        <v>0</v>
      </c>
      <c r="F38" s="90">
        <f>F8*1.1</f>
        <v>0</v>
      </c>
    </row>
    <row r="39" spans="1:6" ht="15.75" customHeight="1" x14ac:dyDescent="0.25">
      <c r="A39" s="5"/>
      <c r="B39" s="5" t="s">
        <v>321</v>
      </c>
      <c r="C39" s="90">
        <v>1</v>
      </c>
      <c r="D39" s="90">
        <v>1</v>
      </c>
      <c r="E39" s="90">
        <v>1</v>
      </c>
      <c r="F39" s="90">
        <v>1</v>
      </c>
    </row>
    <row r="40" spans="1:6" ht="15.75" customHeight="1" x14ac:dyDescent="0.25">
      <c r="A40" s="5" t="s">
        <v>185</v>
      </c>
      <c r="B40" s="5" t="s">
        <v>320</v>
      </c>
      <c r="C40" s="90">
        <f>C10*1.1</f>
        <v>0.38500000000000001</v>
      </c>
      <c r="D40" s="90">
        <f>D10*1.1</f>
        <v>0.38500000000000001</v>
      </c>
      <c r="E40" s="90">
        <f>E10*1.1</f>
        <v>0</v>
      </c>
      <c r="F40" s="90">
        <f>F10*1.1</f>
        <v>0</v>
      </c>
    </row>
    <row r="41" spans="1:6" ht="15.75" customHeight="1" x14ac:dyDescent="0.25">
      <c r="A41" s="5"/>
      <c r="B41" s="5" t="s">
        <v>321</v>
      </c>
      <c r="C41" s="90">
        <v>1</v>
      </c>
      <c r="D41" s="90">
        <v>1</v>
      </c>
      <c r="E41" s="90">
        <v>1</v>
      </c>
      <c r="F41" s="90">
        <v>1</v>
      </c>
    </row>
    <row r="42" spans="1:6" ht="15.75" customHeight="1" x14ac:dyDescent="0.25">
      <c r="A42" s="5" t="s">
        <v>189</v>
      </c>
      <c r="B42" s="5" t="s">
        <v>320</v>
      </c>
      <c r="C42" s="90">
        <f>0.93*C34</f>
        <v>0.79980000000000007</v>
      </c>
      <c r="D42" s="90">
        <f>0.93*D34</f>
        <v>0.79980000000000007</v>
      </c>
      <c r="E42" s="90">
        <f>E12*1.1</f>
        <v>0</v>
      </c>
      <c r="F42" s="90">
        <f>F12*1.1</f>
        <v>0</v>
      </c>
    </row>
    <row r="43" spans="1:6" ht="15.75" customHeight="1" x14ac:dyDescent="0.25">
      <c r="A43" s="5"/>
      <c r="B43" s="5" t="s">
        <v>321</v>
      </c>
      <c r="C43" s="90">
        <v>1</v>
      </c>
      <c r="D43" s="90">
        <v>1</v>
      </c>
      <c r="E43" s="90">
        <v>1</v>
      </c>
      <c r="F43" s="90">
        <v>1</v>
      </c>
    </row>
  </sheetData>
  <sheetProtection algorithmName="SHA-512" hashValue="PUfJuiUNbMb/MQRLkAsGcWUE9LysvFA0D2QXP4JDwD+OwFdv/0QrTPfxLCzzq0L/85+mR0sq4EtSXllAnq4t/g==" saltValue="WHV2CYSu8Z8U8FzUo7tV5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zoomScale="70" zoomScaleNormal="70" workbookViewId="0">
      <selection activeCell="D12" sqref="D12"/>
    </sheetView>
  </sheetViews>
  <sheetFormatPr defaultColWidth="12.81640625" defaultRowHeight="12.5" x14ac:dyDescent="0.25"/>
  <cols>
    <col min="1" max="1" width="22.54296875" style="8" customWidth="1"/>
    <col min="2" max="2" width="58.90625" style="8" bestFit="1" customWidth="1"/>
    <col min="3" max="15" width="15" style="8" customWidth="1"/>
    <col min="16" max="16" width="12.81640625" style="8" customWidth="1"/>
    <col min="17" max="16384" width="12.81640625" style="8"/>
  </cols>
  <sheetData>
    <row r="1" spans="1:15" ht="35.25" customHeight="1" x14ac:dyDescent="0.3">
      <c r="A1" s="4"/>
      <c r="B1" s="4"/>
      <c r="C1" s="70" t="s">
        <v>67</v>
      </c>
      <c r="D1" s="70" t="s">
        <v>77</v>
      </c>
      <c r="E1" s="70" t="s">
        <v>78</v>
      </c>
      <c r="F1" s="70" t="s">
        <v>79</v>
      </c>
      <c r="G1" s="70" t="s">
        <v>80</v>
      </c>
      <c r="H1" s="70" t="s">
        <v>58</v>
      </c>
      <c r="I1" s="70" t="s">
        <v>59</v>
      </c>
      <c r="J1" s="70" t="s">
        <v>60</v>
      </c>
      <c r="K1" s="70" t="s">
        <v>61</v>
      </c>
      <c r="L1" s="70" t="s">
        <v>112</v>
      </c>
      <c r="M1" s="70" t="s">
        <v>113</v>
      </c>
      <c r="N1" s="70" t="s">
        <v>114</v>
      </c>
      <c r="O1" s="70" t="s">
        <v>115</v>
      </c>
    </row>
    <row r="2" spans="1:15" ht="13" customHeight="1" x14ac:dyDescent="0.3">
      <c r="A2" s="4" t="s">
        <v>322</v>
      </c>
    </row>
    <row r="3" spans="1:15" x14ac:dyDescent="0.25">
      <c r="B3" s="11" t="s">
        <v>170</v>
      </c>
      <c r="C3" s="90">
        <v>0.53</v>
      </c>
      <c r="D3" s="90">
        <v>0.53</v>
      </c>
      <c r="E3" s="90">
        <v>1</v>
      </c>
      <c r="F3" s="90">
        <v>1</v>
      </c>
      <c r="G3" s="90">
        <v>1</v>
      </c>
      <c r="H3" s="90">
        <v>1</v>
      </c>
      <c r="I3" s="90">
        <v>1</v>
      </c>
      <c r="J3" s="90">
        <v>1</v>
      </c>
      <c r="K3" s="90">
        <v>1</v>
      </c>
      <c r="L3" s="90">
        <v>1</v>
      </c>
      <c r="M3" s="90">
        <v>1</v>
      </c>
      <c r="N3" s="90">
        <v>1</v>
      </c>
      <c r="O3" s="90">
        <v>1</v>
      </c>
    </row>
    <row r="4" spans="1:15" x14ac:dyDescent="0.25">
      <c r="B4" s="11" t="s">
        <v>175</v>
      </c>
      <c r="C4" s="90">
        <v>1</v>
      </c>
      <c r="D4" s="90">
        <v>1</v>
      </c>
      <c r="E4" s="90">
        <v>1</v>
      </c>
      <c r="F4" s="90">
        <v>1</v>
      </c>
      <c r="G4" s="90">
        <v>1</v>
      </c>
      <c r="H4" s="90">
        <v>0.73</v>
      </c>
      <c r="I4" s="90">
        <v>0.73</v>
      </c>
      <c r="J4" s="90">
        <v>0.73</v>
      </c>
      <c r="K4" s="90">
        <v>0.73</v>
      </c>
      <c r="L4" s="90">
        <v>1</v>
      </c>
      <c r="M4" s="90">
        <v>1</v>
      </c>
      <c r="N4" s="90">
        <v>1</v>
      </c>
      <c r="O4" s="90">
        <v>1</v>
      </c>
    </row>
    <row r="5" spans="1:15" x14ac:dyDescent="0.25">
      <c r="B5" s="11" t="s">
        <v>176</v>
      </c>
      <c r="C5" s="90">
        <v>1</v>
      </c>
      <c r="D5" s="90">
        <v>1</v>
      </c>
      <c r="E5" s="90">
        <v>1</v>
      </c>
      <c r="F5" s="90">
        <v>1</v>
      </c>
      <c r="G5" s="90">
        <v>1</v>
      </c>
      <c r="H5" s="90">
        <v>0.73</v>
      </c>
      <c r="I5" s="90">
        <v>0.73</v>
      </c>
      <c r="J5" s="90">
        <v>0.73</v>
      </c>
      <c r="K5" s="90">
        <v>0.73</v>
      </c>
      <c r="L5" s="90">
        <v>1</v>
      </c>
      <c r="M5" s="90">
        <v>1</v>
      </c>
      <c r="N5" s="90">
        <v>1</v>
      </c>
      <c r="O5" s="90">
        <v>1</v>
      </c>
    </row>
    <row r="6" spans="1:15" x14ac:dyDescent="0.25">
      <c r="B6" s="11" t="s">
        <v>177</v>
      </c>
      <c r="C6" s="90">
        <v>1</v>
      </c>
      <c r="D6" s="90">
        <v>1</v>
      </c>
      <c r="E6" s="90">
        <v>1</v>
      </c>
      <c r="F6" s="90">
        <v>1</v>
      </c>
      <c r="G6" s="90">
        <v>1</v>
      </c>
      <c r="H6" s="90">
        <v>0.73</v>
      </c>
      <c r="I6" s="90">
        <v>0.73</v>
      </c>
      <c r="J6" s="90">
        <v>0.73</v>
      </c>
      <c r="K6" s="90">
        <v>0.73</v>
      </c>
      <c r="L6" s="90">
        <v>1</v>
      </c>
      <c r="M6" s="90">
        <v>1</v>
      </c>
      <c r="N6" s="90">
        <v>1</v>
      </c>
      <c r="O6" s="90">
        <v>1</v>
      </c>
    </row>
    <row r="7" spans="1:15" x14ac:dyDescent="0.25">
      <c r="B7" s="11" t="s">
        <v>178</v>
      </c>
      <c r="C7" s="90">
        <v>1</v>
      </c>
      <c r="D7" s="90">
        <v>1</v>
      </c>
      <c r="E7" s="90">
        <v>1</v>
      </c>
      <c r="F7" s="90">
        <v>1</v>
      </c>
      <c r="G7" s="90">
        <v>1</v>
      </c>
      <c r="H7" s="90">
        <v>0.73</v>
      </c>
      <c r="I7" s="90">
        <v>0.73</v>
      </c>
      <c r="J7" s="90">
        <v>0.73</v>
      </c>
      <c r="K7" s="90">
        <v>0.73</v>
      </c>
      <c r="L7" s="90">
        <v>1</v>
      </c>
      <c r="M7" s="90">
        <v>1</v>
      </c>
      <c r="N7" s="90">
        <v>1</v>
      </c>
      <c r="O7" s="90">
        <v>1</v>
      </c>
    </row>
    <row r="8" spans="1:15" x14ac:dyDescent="0.25">
      <c r="B8" s="5" t="s">
        <v>179</v>
      </c>
      <c r="C8" s="90">
        <v>1</v>
      </c>
      <c r="D8" s="90">
        <v>1</v>
      </c>
      <c r="E8" s="90">
        <v>1</v>
      </c>
      <c r="F8" s="90">
        <v>1</v>
      </c>
      <c r="G8" s="90">
        <v>1</v>
      </c>
      <c r="H8" s="90">
        <v>1</v>
      </c>
      <c r="I8" s="90">
        <v>1</v>
      </c>
      <c r="J8" s="90">
        <v>1</v>
      </c>
      <c r="K8" s="90">
        <v>1</v>
      </c>
      <c r="L8" s="90">
        <v>0.49</v>
      </c>
      <c r="M8" s="90">
        <v>0.49</v>
      </c>
      <c r="N8" s="90">
        <v>0.49</v>
      </c>
      <c r="O8" s="90">
        <v>0.49</v>
      </c>
    </row>
    <row r="9" spans="1:15" x14ac:dyDescent="0.25">
      <c r="B9" s="5" t="s">
        <v>180</v>
      </c>
      <c r="C9" s="90">
        <v>1</v>
      </c>
      <c r="D9" s="90">
        <v>1</v>
      </c>
      <c r="E9" s="90">
        <v>1</v>
      </c>
      <c r="F9" s="90">
        <v>1</v>
      </c>
      <c r="G9" s="90">
        <v>1</v>
      </c>
      <c r="H9" s="90">
        <v>1</v>
      </c>
      <c r="I9" s="90">
        <v>1</v>
      </c>
      <c r="J9" s="90">
        <v>1</v>
      </c>
      <c r="K9" s="90">
        <v>1</v>
      </c>
      <c r="L9" s="90">
        <v>0.49</v>
      </c>
      <c r="M9" s="90">
        <v>0.49</v>
      </c>
      <c r="N9" s="90">
        <v>0.49</v>
      </c>
      <c r="O9" s="90">
        <v>0.49</v>
      </c>
    </row>
    <row r="10" spans="1:15" x14ac:dyDescent="0.25">
      <c r="B10" s="11" t="s">
        <v>181</v>
      </c>
      <c r="C10" s="90">
        <v>1</v>
      </c>
      <c r="D10" s="90">
        <v>1</v>
      </c>
      <c r="E10" s="90">
        <v>1</v>
      </c>
      <c r="F10" s="90">
        <v>1</v>
      </c>
      <c r="G10" s="90">
        <v>1</v>
      </c>
      <c r="H10" s="90">
        <v>1</v>
      </c>
      <c r="I10" s="90">
        <v>1</v>
      </c>
      <c r="J10" s="90">
        <v>1</v>
      </c>
      <c r="K10" s="90">
        <v>1</v>
      </c>
      <c r="L10" s="90">
        <v>0.83</v>
      </c>
      <c r="M10" s="90">
        <v>0.83</v>
      </c>
      <c r="N10" s="90">
        <v>0.83</v>
      </c>
      <c r="O10" s="90">
        <v>0.83</v>
      </c>
    </row>
    <row r="11" spans="1:15" x14ac:dyDescent="0.25">
      <c r="B11" s="5" t="s">
        <v>184</v>
      </c>
      <c r="C11" s="90">
        <v>1</v>
      </c>
      <c r="D11" s="90">
        <v>1</v>
      </c>
      <c r="E11" s="90">
        <v>0.69</v>
      </c>
      <c r="F11" s="90">
        <v>0.69</v>
      </c>
      <c r="G11" s="90">
        <v>1</v>
      </c>
      <c r="H11" s="90">
        <v>1</v>
      </c>
      <c r="I11" s="90">
        <v>1</v>
      </c>
      <c r="J11" s="90">
        <v>1</v>
      </c>
      <c r="K11" s="90">
        <v>1</v>
      </c>
      <c r="L11" s="90">
        <v>1</v>
      </c>
      <c r="M11" s="90">
        <v>1</v>
      </c>
      <c r="N11" s="90">
        <v>1</v>
      </c>
      <c r="O11" s="90">
        <v>1</v>
      </c>
    </row>
    <row r="12" spans="1:15" x14ac:dyDescent="0.25">
      <c r="B12" s="11" t="s">
        <v>185</v>
      </c>
      <c r="C12" s="90">
        <v>0.83</v>
      </c>
      <c r="D12" s="90">
        <v>0.83</v>
      </c>
      <c r="E12" s="90">
        <v>0.83</v>
      </c>
      <c r="F12" s="90">
        <v>0.83</v>
      </c>
      <c r="G12" s="90">
        <v>0.83</v>
      </c>
      <c r="H12" s="90">
        <v>0.83</v>
      </c>
      <c r="I12" s="90">
        <v>0.83</v>
      </c>
      <c r="J12" s="90">
        <v>0.83</v>
      </c>
      <c r="K12" s="90">
        <v>0.83</v>
      </c>
      <c r="L12" s="90">
        <v>0.83</v>
      </c>
      <c r="M12" s="90">
        <v>0.83</v>
      </c>
      <c r="N12" s="90">
        <v>0.83</v>
      </c>
      <c r="O12" s="90">
        <v>0.83</v>
      </c>
    </row>
    <row r="13" spans="1:15" ht="13" customHeight="1" x14ac:dyDescent="0.25">
      <c r="B13" s="11" t="s">
        <v>188</v>
      </c>
      <c r="C13" s="90">
        <v>1</v>
      </c>
      <c r="D13" s="90">
        <v>1</v>
      </c>
      <c r="E13" s="90">
        <v>0.69</v>
      </c>
      <c r="F13" s="90">
        <v>0.69</v>
      </c>
      <c r="G13" s="90">
        <v>0.69</v>
      </c>
      <c r="H13" s="90">
        <v>1</v>
      </c>
      <c r="I13" s="90">
        <v>1</v>
      </c>
      <c r="J13" s="90">
        <v>1</v>
      </c>
      <c r="K13" s="90">
        <v>1</v>
      </c>
      <c r="L13" s="90">
        <v>1</v>
      </c>
      <c r="M13" s="90">
        <v>1</v>
      </c>
      <c r="N13" s="90">
        <v>1</v>
      </c>
      <c r="O13" s="90">
        <v>1</v>
      </c>
    </row>
    <row r="14" spans="1:15" x14ac:dyDescent="0.25">
      <c r="B14" s="11" t="s">
        <v>189</v>
      </c>
      <c r="C14" s="90">
        <v>1</v>
      </c>
      <c r="D14" s="90">
        <v>1</v>
      </c>
      <c r="E14" s="90">
        <v>1</v>
      </c>
      <c r="F14" s="90">
        <v>1</v>
      </c>
      <c r="G14" s="90">
        <v>1</v>
      </c>
      <c r="H14" s="90">
        <v>1</v>
      </c>
      <c r="I14" s="90">
        <v>1</v>
      </c>
      <c r="J14" s="90">
        <v>1</v>
      </c>
      <c r="K14" s="90">
        <v>1</v>
      </c>
      <c r="L14" s="90">
        <v>0.33</v>
      </c>
      <c r="M14" s="90">
        <v>0.33</v>
      </c>
      <c r="N14" s="90">
        <v>0.33</v>
      </c>
      <c r="O14" s="90">
        <v>0.33</v>
      </c>
    </row>
    <row r="15" spans="1:15" x14ac:dyDescent="0.25">
      <c r="B15" s="5" t="s">
        <v>192</v>
      </c>
      <c r="C15" s="90">
        <v>1</v>
      </c>
      <c r="D15" s="90">
        <v>1</v>
      </c>
      <c r="E15" s="90">
        <v>0.84</v>
      </c>
      <c r="F15" s="90">
        <v>0.84</v>
      </c>
      <c r="G15" s="90">
        <v>1</v>
      </c>
      <c r="H15" s="90">
        <v>1</v>
      </c>
      <c r="I15" s="90">
        <v>1</v>
      </c>
      <c r="J15" s="90">
        <v>1</v>
      </c>
      <c r="K15" s="90">
        <v>1</v>
      </c>
      <c r="L15" s="90">
        <v>1</v>
      </c>
      <c r="M15" s="90">
        <v>1</v>
      </c>
      <c r="N15" s="90">
        <v>1</v>
      </c>
      <c r="O15" s="90">
        <v>1</v>
      </c>
    </row>
    <row r="17" spans="1:15" ht="13" customHeight="1" x14ac:dyDescent="0.3">
      <c r="A17" s="4" t="s">
        <v>323</v>
      </c>
      <c r="B17" s="11"/>
    </row>
    <row r="18" spans="1:15" x14ac:dyDescent="0.25">
      <c r="B18" s="5" t="s">
        <v>172</v>
      </c>
      <c r="C18" s="90">
        <v>1</v>
      </c>
      <c r="D18" s="90">
        <v>1</v>
      </c>
      <c r="E18" s="90">
        <v>1</v>
      </c>
      <c r="F18" s="90">
        <v>1</v>
      </c>
      <c r="G18" s="90">
        <v>1</v>
      </c>
      <c r="H18" s="90">
        <v>1</v>
      </c>
      <c r="I18" s="90">
        <v>1</v>
      </c>
      <c r="J18" s="90">
        <v>1</v>
      </c>
      <c r="K18" s="90">
        <v>1</v>
      </c>
      <c r="L18" s="90">
        <v>1</v>
      </c>
      <c r="M18" s="90">
        <v>1</v>
      </c>
      <c r="N18" s="90">
        <v>1</v>
      </c>
      <c r="O18" s="90">
        <v>1</v>
      </c>
    </row>
    <row r="19" spans="1:15" x14ac:dyDescent="0.25">
      <c r="B19" s="5" t="s">
        <v>173</v>
      </c>
      <c r="C19" s="90">
        <v>1</v>
      </c>
      <c r="D19" s="90">
        <v>1</v>
      </c>
      <c r="E19" s="90">
        <f>IF(ISBLANK('Nutritional status distribution'!E$14),0.72,(0.72*'Nutritional status distribution'!E$14/(1-0.72*'Nutritional status distribution'!E$14))
/ ('Nutritional status distribution'!E$14/(1-'Nutritional status distribution'!E$14)))</f>
        <v>0.51115793772209017</v>
      </c>
      <c r="F19" s="90">
        <f>IF(ISBLANK('Nutritional status distribution'!F$14),0.72,(0.72*'Nutritional status distribution'!F$14/(1-0.72*'Nutritional status distribution'!F$14))
/ ('Nutritional status distribution'!F$14/(1-'Nutritional status distribution'!F$14)))</f>
        <v>0.64621072080635289</v>
      </c>
      <c r="G19" s="90">
        <f>IF(ISBLANK('Nutritional status distribution'!G$14),0.72,(0.72*'Nutritional status distribution'!G$14/(1-0.72*'Nutritional status distribution'!G$14))
/ ('Nutritional status distribution'!G$14/(1-'Nutritional status distribution'!G$14)))</f>
        <v>0.64621072080635289</v>
      </c>
      <c r="H19" s="90">
        <f>IF(ISBLANK('Nutritional status distribution'!H$14),0.72,(0.72*'Nutritional status distribution'!H$14/(1-0.72*'Nutritional status distribution'!H$14))
/ ('Nutritional status distribution'!H$14/(1-'Nutritional status distribution'!H$14)))</f>
        <v>0.6063434934203128</v>
      </c>
      <c r="I19" s="90">
        <f>IF(ISBLANK('Nutritional status distribution'!I$14),0.72,(0.72*'Nutritional status distribution'!I$14/(1-0.72*'Nutritional status distribution'!I$14))
/ ('Nutritional status distribution'!I$14/(1-'Nutritional status distribution'!I$14)))</f>
        <v>0.6063434934203128</v>
      </c>
      <c r="J19" s="90">
        <f>IF(ISBLANK('Nutritional status distribution'!J$14),0.72,(0.72*'Nutritional status distribution'!J$14/(1-0.72*'Nutritional status distribution'!J$14))
/ ('Nutritional status distribution'!J$14/(1-'Nutritional status distribution'!J$14)))</f>
        <v>0.6063434934203128</v>
      </c>
      <c r="K19" s="90">
        <f>IF(ISBLANK('Nutritional status distribution'!K$14),0.72,(0.72*'Nutritional status distribution'!K$14/(1-0.72*'Nutritional status distribution'!K$14))
/ ('Nutritional status distribution'!K$14/(1-'Nutritional status distribution'!K$14)))</f>
        <v>0.6063434934203128</v>
      </c>
      <c r="L19" s="90">
        <f>IF(ISBLANK('Nutritional status distribution'!L$14),0.72,(0.72*'Nutritional status distribution'!L$14/(1-0.72*'Nutritional status distribution'!L$14))
/ ('Nutritional status distribution'!L$14/(1-'Nutritional status distribution'!L$14)))</f>
        <v>0.61300309597523228</v>
      </c>
      <c r="M19" s="90">
        <f>IF(ISBLANK('Nutritional status distribution'!M$14),0.72,(0.72*'Nutritional status distribution'!M$14/(1-0.72*'Nutritional status distribution'!M$14))
/ ('Nutritional status distribution'!M$14/(1-'Nutritional status distribution'!M$14)))</f>
        <v>0.61300309597523228</v>
      </c>
      <c r="N19" s="90">
        <f>IF(ISBLANK('Nutritional status distribution'!N$14),0.72,(0.72*'Nutritional status distribution'!N$14/(1-0.72*'Nutritional status distribution'!N$14))
/ ('Nutritional status distribution'!N$14/(1-'Nutritional status distribution'!N$14)))</f>
        <v>0.61300309597523228</v>
      </c>
      <c r="O19" s="90">
        <f>IF(ISBLANK('Nutritional status distribution'!O$14),0.72,(0.72*'Nutritional status distribution'!O$14/(1-0.72*'Nutritional status distribution'!O$14))
/ ('Nutritional status distribution'!O$14/(1-'Nutritional status distribution'!O$14)))</f>
        <v>0.61300309597523228</v>
      </c>
    </row>
    <row r="20" spans="1:15" x14ac:dyDescent="0.25">
      <c r="B20" s="5" t="s">
        <v>174</v>
      </c>
      <c r="C20" s="90">
        <v>1</v>
      </c>
      <c r="D20" s="90">
        <v>1</v>
      </c>
      <c r="E20" s="90">
        <v>1</v>
      </c>
      <c r="F20" s="90">
        <v>1</v>
      </c>
      <c r="G20" s="90">
        <v>1</v>
      </c>
      <c r="H20" s="90">
        <v>1</v>
      </c>
      <c r="I20" s="90">
        <v>1</v>
      </c>
      <c r="J20" s="90">
        <v>1</v>
      </c>
      <c r="K20" s="90">
        <v>1</v>
      </c>
      <c r="L20" s="90">
        <v>1</v>
      </c>
      <c r="M20" s="90">
        <v>1</v>
      </c>
      <c r="N20" s="90">
        <v>1</v>
      </c>
      <c r="O20" s="90">
        <v>1</v>
      </c>
    </row>
    <row r="21" spans="1:15" x14ac:dyDescent="0.25">
      <c r="B21" s="5" t="s">
        <v>182</v>
      </c>
      <c r="C21" s="90">
        <v>1</v>
      </c>
      <c r="D21" s="90">
        <v>1</v>
      </c>
      <c r="E21" s="90">
        <f>IF(ISBLANK('Nutritional status distribution'!E$14),0.8,(0.8*'Nutritional status distribution'!E$14/(1-0.8*'Nutritional status distribution'!E$14))
/ ('Nutritional status distribution'!E$14/(1-'Nutritional status distribution'!E$14)))</f>
        <v>0.61927495402261645</v>
      </c>
      <c r="F21" s="90">
        <f>IF(ISBLANK('Nutritional status distribution'!F$14),0.8,(0.8*'Nutritional status distribution'!F$14/(1-0.8*'Nutritional status distribution'!F$14))
/ ('Nutritional status distribution'!F$14/(1-'Nutritional status distribution'!F$14)))</f>
        <v>0.73967054549632305</v>
      </c>
      <c r="G21" s="90">
        <f>IF(ISBLANK('Nutritional status distribution'!G$14),0.8,(0.8*'Nutritional status distribution'!G$14/(1-0.8*'Nutritional status distribution'!G$14))
/ ('Nutritional status distribution'!G$14/(1-'Nutritional status distribution'!G$14)))</f>
        <v>0.73967054549632305</v>
      </c>
      <c r="H21" s="90">
        <f>IF(ISBLANK('Nutritional status distribution'!H$14),0.8,(0.8*'Nutritional status distribution'!H$14/(1-0.8*'Nutritional status distribution'!H$14))
/ ('Nutritional status distribution'!H$14/(1-'Nutritional status distribution'!H$14)))</f>
        <v>0.70553592461719661</v>
      </c>
      <c r="I21" s="90">
        <f>IF(ISBLANK('Nutritional status distribution'!I$14),0.8,(0.8*'Nutritional status distribution'!I$14/(1-0.8*'Nutritional status distribution'!I$14))
/ ('Nutritional status distribution'!I$14/(1-'Nutritional status distribution'!I$14)))</f>
        <v>0.70553592461719661</v>
      </c>
      <c r="J21" s="90">
        <f>IF(ISBLANK('Nutritional status distribution'!J$14),0.8,(0.8*'Nutritional status distribution'!J$14/(1-0.8*'Nutritional status distribution'!J$14))
/ ('Nutritional status distribution'!J$14/(1-'Nutritional status distribution'!J$14)))</f>
        <v>0.70553592461719661</v>
      </c>
      <c r="K21" s="90">
        <f>IF(ISBLANK('Nutritional status distribution'!K$14),0.8,(0.8*'Nutritional status distribution'!K$14/(1-0.8*'Nutritional status distribution'!K$14))
/ ('Nutritional status distribution'!K$14/(1-'Nutritional status distribution'!K$14)))</f>
        <v>0.70553592461719661</v>
      </c>
      <c r="L21" s="90">
        <f>IF(ISBLANK('Nutritional status distribution'!L$14),0.8,(0.8*'Nutritional status distribution'!L$14/(1-0.8*'Nutritional status distribution'!L$14))
/ ('Nutritional status distribution'!L$14/(1-'Nutritional status distribution'!L$14)))</f>
        <v>0.7113163972286376</v>
      </c>
      <c r="M21" s="90">
        <f>IF(ISBLANK('Nutritional status distribution'!M$14),0.8,(0.8*'Nutritional status distribution'!M$14/(1-0.8*'Nutritional status distribution'!M$14))
/ ('Nutritional status distribution'!M$14/(1-'Nutritional status distribution'!M$14)))</f>
        <v>0.7113163972286376</v>
      </c>
      <c r="N21" s="90">
        <f>IF(ISBLANK('Nutritional status distribution'!N$14),0.8,(0.8*'Nutritional status distribution'!N$14/(1-0.8*'Nutritional status distribution'!N$14))
/ ('Nutritional status distribution'!N$14/(1-'Nutritional status distribution'!N$14)))</f>
        <v>0.7113163972286376</v>
      </c>
      <c r="O21" s="90">
        <f>IF(ISBLANK('Nutritional status distribution'!O$14),0.8,(0.8*'Nutritional status distribution'!O$14/(1-0.8*'Nutritional status distribution'!O$14))
/ ('Nutritional status distribution'!O$14/(1-'Nutritional status distribution'!O$14)))</f>
        <v>0.7113163972286376</v>
      </c>
    </row>
    <row r="23" spans="1:15" s="92" customFormat="1" ht="13" customHeight="1" x14ac:dyDescent="0.3">
      <c r="A23" s="92" t="s">
        <v>235</v>
      </c>
    </row>
    <row r="24" spans="1:15" ht="26" customHeight="1" x14ac:dyDescent="0.3">
      <c r="A24" s="4"/>
      <c r="B24" s="4"/>
      <c r="C24" s="70" t="s">
        <v>67</v>
      </c>
      <c r="D24" s="70" t="s">
        <v>77</v>
      </c>
      <c r="E24" s="70" t="s">
        <v>78</v>
      </c>
      <c r="F24" s="70" t="s">
        <v>79</v>
      </c>
      <c r="G24" s="70" t="s">
        <v>80</v>
      </c>
      <c r="H24" s="70" t="s">
        <v>58</v>
      </c>
      <c r="I24" s="70" t="s">
        <v>59</v>
      </c>
      <c r="J24" s="70" t="s">
        <v>60</v>
      </c>
      <c r="K24" s="70" t="s">
        <v>61</v>
      </c>
      <c r="L24" s="70" t="s">
        <v>112</v>
      </c>
      <c r="M24" s="70" t="s">
        <v>113</v>
      </c>
      <c r="N24" s="70" t="s">
        <v>114</v>
      </c>
      <c r="O24" s="70" t="s">
        <v>115</v>
      </c>
    </row>
    <row r="25" spans="1:15" ht="13" customHeight="1" x14ac:dyDescent="0.3">
      <c r="A25" s="4" t="s">
        <v>324</v>
      </c>
    </row>
    <row r="26" spans="1:15" x14ac:dyDescent="0.25">
      <c r="B26" s="11" t="s">
        <v>170</v>
      </c>
      <c r="C26" s="90">
        <f t="shared" ref="C26:O26" si="0">IF(C3=1,1,C3*0.9)</f>
        <v>0.47700000000000004</v>
      </c>
      <c r="D26" s="90">
        <f t="shared" si="0"/>
        <v>0.47700000000000004</v>
      </c>
      <c r="E26" s="90">
        <f t="shared" si="0"/>
        <v>1</v>
      </c>
      <c r="F26" s="90">
        <f t="shared" si="0"/>
        <v>1</v>
      </c>
      <c r="G26" s="90">
        <f t="shared" si="0"/>
        <v>1</v>
      </c>
      <c r="H26" s="90">
        <f t="shared" si="0"/>
        <v>1</v>
      </c>
      <c r="I26" s="90">
        <f t="shared" si="0"/>
        <v>1</v>
      </c>
      <c r="J26" s="90">
        <f t="shared" si="0"/>
        <v>1</v>
      </c>
      <c r="K26" s="90">
        <f t="shared" si="0"/>
        <v>1</v>
      </c>
      <c r="L26" s="90">
        <f t="shared" si="0"/>
        <v>1</v>
      </c>
      <c r="M26" s="90">
        <f t="shared" si="0"/>
        <v>1</v>
      </c>
      <c r="N26" s="90">
        <f t="shared" si="0"/>
        <v>1</v>
      </c>
      <c r="O26" s="90">
        <f t="shared" si="0"/>
        <v>1</v>
      </c>
    </row>
    <row r="27" spans="1:15" x14ac:dyDescent="0.25">
      <c r="B27" s="11" t="s">
        <v>175</v>
      </c>
      <c r="C27" s="90">
        <f t="shared" ref="C27:O27" si="1">IF(C4=1,1,C4*0.9)</f>
        <v>1</v>
      </c>
      <c r="D27" s="90">
        <f t="shared" si="1"/>
        <v>1</v>
      </c>
      <c r="E27" s="90">
        <f t="shared" si="1"/>
        <v>1</v>
      </c>
      <c r="F27" s="90">
        <f t="shared" si="1"/>
        <v>1</v>
      </c>
      <c r="G27" s="90">
        <f t="shared" si="1"/>
        <v>1</v>
      </c>
      <c r="H27" s="90">
        <f t="shared" si="1"/>
        <v>0.65700000000000003</v>
      </c>
      <c r="I27" s="90">
        <f t="shared" si="1"/>
        <v>0.65700000000000003</v>
      </c>
      <c r="J27" s="90">
        <f t="shared" si="1"/>
        <v>0.65700000000000003</v>
      </c>
      <c r="K27" s="90">
        <f t="shared" si="1"/>
        <v>0.65700000000000003</v>
      </c>
      <c r="L27" s="90">
        <f t="shared" si="1"/>
        <v>1</v>
      </c>
      <c r="M27" s="90">
        <f t="shared" si="1"/>
        <v>1</v>
      </c>
      <c r="N27" s="90">
        <f t="shared" si="1"/>
        <v>1</v>
      </c>
      <c r="O27" s="90">
        <f t="shared" si="1"/>
        <v>1</v>
      </c>
    </row>
    <row r="28" spans="1:15" x14ac:dyDescent="0.25">
      <c r="B28" s="11" t="s">
        <v>176</v>
      </c>
      <c r="C28" s="90">
        <f t="shared" ref="C28:O28" si="2">IF(C5=1,1,C5*0.9)</f>
        <v>1</v>
      </c>
      <c r="D28" s="90">
        <f t="shared" si="2"/>
        <v>1</v>
      </c>
      <c r="E28" s="90">
        <f t="shared" si="2"/>
        <v>1</v>
      </c>
      <c r="F28" s="90">
        <f t="shared" si="2"/>
        <v>1</v>
      </c>
      <c r="G28" s="90">
        <f t="shared" si="2"/>
        <v>1</v>
      </c>
      <c r="H28" s="90">
        <f t="shared" si="2"/>
        <v>0.65700000000000003</v>
      </c>
      <c r="I28" s="90">
        <f t="shared" si="2"/>
        <v>0.65700000000000003</v>
      </c>
      <c r="J28" s="90">
        <f t="shared" si="2"/>
        <v>0.65700000000000003</v>
      </c>
      <c r="K28" s="90">
        <f t="shared" si="2"/>
        <v>0.65700000000000003</v>
      </c>
      <c r="L28" s="90">
        <f t="shared" si="2"/>
        <v>1</v>
      </c>
      <c r="M28" s="90">
        <f t="shared" si="2"/>
        <v>1</v>
      </c>
      <c r="N28" s="90">
        <f t="shared" si="2"/>
        <v>1</v>
      </c>
      <c r="O28" s="90">
        <f t="shared" si="2"/>
        <v>1</v>
      </c>
    </row>
    <row r="29" spans="1:15" x14ac:dyDescent="0.25">
      <c r="B29" s="11" t="s">
        <v>177</v>
      </c>
      <c r="C29" s="90">
        <f t="shared" ref="C29:O29" si="3">IF(C6=1,1,C6*0.9)</f>
        <v>1</v>
      </c>
      <c r="D29" s="90">
        <f t="shared" si="3"/>
        <v>1</v>
      </c>
      <c r="E29" s="90">
        <f t="shared" si="3"/>
        <v>1</v>
      </c>
      <c r="F29" s="90">
        <f t="shared" si="3"/>
        <v>1</v>
      </c>
      <c r="G29" s="90">
        <f t="shared" si="3"/>
        <v>1</v>
      </c>
      <c r="H29" s="90">
        <f t="shared" si="3"/>
        <v>0.65700000000000003</v>
      </c>
      <c r="I29" s="90">
        <f t="shared" si="3"/>
        <v>0.65700000000000003</v>
      </c>
      <c r="J29" s="90">
        <f t="shared" si="3"/>
        <v>0.65700000000000003</v>
      </c>
      <c r="K29" s="90">
        <f t="shared" si="3"/>
        <v>0.65700000000000003</v>
      </c>
      <c r="L29" s="90">
        <f t="shared" si="3"/>
        <v>1</v>
      </c>
      <c r="M29" s="90">
        <f t="shared" si="3"/>
        <v>1</v>
      </c>
      <c r="N29" s="90">
        <f t="shared" si="3"/>
        <v>1</v>
      </c>
      <c r="O29" s="90">
        <f t="shared" si="3"/>
        <v>1</v>
      </c>
    </row>
    <row r="30" spans="1:15" x14ac:dyDescent="0.25">
      <c r="B30" s="11" t="s">
        <v>178</v>
      </c>
      <c r="C30" s="90">
        <f t="shared" ref="C30:O30" si="4">IF(C7=1,1,C7*0.9)</f>
        <v>1</v>
      </c>
      <c r="D30" s="90">
        <f t="shared" si="4"/>
        <v>1</v>
      </c>
      <c r="E30" s="90">
        <f t="shared" si="4"/>
        <v>1</v>
      </c>
      <c r="F30" s="90">
        <f t="shared" si="4"/>
        <v>1</v>
      </c>
      <c r="G30" s="90">
        <f t="shared" si="4"/>
        <v>1</v>
      </c>
      <c r="H30" s="90">
        <f t="shared" si="4"/>
        <v>0.65700000000000003</v>
      </c>
      <c r="I30" s="90">
        <f t="shared" si="4"/>
        <v>0.65700000000000003</v>
      </c>
      <c r="J30" s="90">
        <f t="shared" si="4"/>
        <v>0.65700000000000003</v>
      </c>
      <c r="K30" s="90">
        <f t="shared" si="4"/>
        <v>0.65700000000000003</v>
      </c>
      <c r="L30" s="90">
        <f t="shared" si="4"/>
        <v>1</v>
      </c>
      <c r="M30" s="90">
        <f t="shared" si="4"/>
        <v>1</v>
      </c>
      <c r="N30" s="90">
        <f t="shared" si="4"/>
        <v>1</v>
      </c>
      <c r="O30" s="90">
        <f t="shared" si="4"/>
        <v>1</v>
      </c>
    </row>
    <row r="31" spans="1:15" x14ac:dyDescent="0.25">
      <c r="B31" s="5" t="s">
        <v>179</v>
      </c>
      <c r="C31" s="90">
        <f t="shared" ref="C31:O31" si="5">IF(C8=1,1,C8*0.9)</f>
        <v>1</v>
      </c>
      <c r="D31" s="90">
        <f t="shared" si="5"/>
        <v>1</v>
      </c>
      <c r="E31" s="90">
        <f t="shared" si="5"/>
        <v>1</v>
      </c>
      <c r="F31" s="90">
        <f t="shared" si="5"/>
        <v>1</v>
      </c>
      <c r="G31" s="90">
        <f t="shared" si="5"/>
        <v>1</v>
      </c>
      <c r="H31" s="90">
        <f t="shared" si="5"/>
        <v>1</v>
      </c>
      <c r="I31" s="90">
        <f t="shared" si="5"/>
        <v>1</v>
      </c>
      <c r="J31" s="90">
        <f t="shared" si="5"/>
        <v>1</v>
      </c>
      <c r="K31" s="90">
        <f t="shared" si="5"/>
        <v>1</v>
      </c>
      <c r="L31" s="90">
        <f t="shared" si="5"/>
        <v>0.441</v>
      </c>
      <c r="M31" s="90">
        <f t="shared" si="5"/>
        <v>0.441</v>
      </c>
      <c r="N31" s="90">
        <f t="shared" si="5"/>
        <v>0.441</v>
      </c>
      <c r="O31" s="90">
        <f t="shared" si="5"/>
        <v>0.441</v>
      </c>
    </row>
    <row r="32" spans="1:15" x14ac:dyDescent="0.25">
      <c r="B32" s="5" t="s">
        <v>180</v>
      </c>
      <c r="C32" s="90">
        <f t="shared" ref="C32:O32" si="6">IF(C9=1,1,C9*0.9)</f>
        <v>1</v>
      </c>
      <c r="D32" s="90">
        <f t="shared" si="6"/>
        <v>1</v>
      </c>
      <c r="E32" s="90">
        <f t="shared" si="6"/>
        <v>1</v>
      </c>
      <c r="F32" s="90">
        <f t="shared" si="6"/>
        <v>1</v>
      </c>
      <c r="G32" s="90">
        <f t="shared" si="6"/>
        <v>1</v>
      </c>
      <c r="H32" s="90">
        <f t="shared" si="6"/>
        <v>1</v>
      </c>
      <c r="I32" s="90">
        <f t="shared" si="6"/>
        <v>1</v>
      </c>
      <c r="J32" s="90">
        <f t="shared" si="6"/>
        <v>1</v>
      </c>
      <c r="K32" s="90">
        <f t="shared" si="6"/>
        <v>1</v>
      </c>
      <c r="L32" s="90">
        <f t="shared" si="6"/>
        <v>0.441</v>
      </c>
      <c r="M32" s="90">
        <f t="shared" si="6"/>
        <v>0.441</v>
      </c>
      <c r="N32" s="90">
        <f t="shared" si="6"/>
        <v>0.441</v>
      </c>
      <c r="O32" s="90">
        <f t="shared" si="6"/>
        <v>0.441</v>
      </c>
    </row>
    <row r="33" spans="1:15" x14ac:dyDescent="0.25">
      <c r="B33" s="11" t="s">
        <v>181</v>
      </c>
      <c r="C33" s="90">
        <f t="shared" ref="C33:O33" si="7">IF(C10=1,1,C10*0.9)</f>
        <v>1</v>
      </c>
      <c r="D33" s="90">
        <f t="shared" si="7"/>
        <v>1</v>
      </c>
      <c r="E33" s="90">
        <f t="shared" si="7"/>
        <v>1</v>
      </c>
      <c r="F33" s="90">
        <f t="shared" si="7"/>
        <v>1</v>
      </c>
      <c r="G33" s="90">
        <f t="shared" si="7"/>
        <v>1</v>
      </c>
      <c r="H33" s="90">
        <f t="shared" si="7"/>
        <v>1</v>
      </c>
      <c r="I33" s="90">
        <f t="shared" si="7"/>
        <v>1</v>
      </c>
      <c r="J33" s="90">
        <f t="shared" si="7"/>
        <v>1</v>
      </c>
      <c r="K33" s="90">
        <f t="shared" si="7"/>
        <v>1</v>
      </c>
      <c r="L33" s="90">
        <f t="shared" si="7"/>
        <v>0.747</v>
      </c>
      <c r="M33" s="90">
        <f t="shared" si="7"/>
        <v>0.747</v>
      </c>
      <c r="N33" s="90">
        <f t="shared" si="7"/>
        <v>0.747</v>
      </c>
      <c r="O33" s="90">
        <f t="shared" si="7"/>
        <v>0.747</v>
      </c>
    </row>
    <row r="34" spans="1:15" x14ac:dyDescent="0.25">
      <c r="B34" s="5" t="s">
        <v>184</v>
      </c>
      <c r="C34" s="90">
        <f t="shared" ref="C34:O34" si="8">IF(C11=1,1,C11*0.9)</f>
        <v>1</v>
      </c>
      <c r="D34" s="90">
        <f t="shared" si="8"/>
        <v>1</v>
      </c>
      <c r="E34" s="90">
        <f t="shared" si="8"/>
        <v>0.621</v>
      </c>
      <c r="F34" s="90">
        <f t="shared" si="8"/>
        <v>0.621</v>
      </c>
      <c r="G34" s="90">
        <f t="shared" si="8"/>
        <v>1</v>
      </c>
      <c r="H34" s="90">
        <f t="shared" si="8"/>
        <v>1</v>
      </c>
      <c r="I34" s="90">
        <f t="shared" si="8"/>
        <v>1</v>
      </c>
      <c r="J34" s="90">
        <f t="shared" si="8"/>
        <v>1</v>
      </c>
      <c r="K34" s="90">
        <f t="shared" si="8"/>
        <v>1</v>
      </c>
      <c r="L34" s="90">
        <f t="shared" si="8"/>
        <v>1</v>
      </c>
      <c r="M34" s="90">
        <f t="shared" si="8"/>
        <v>1</v>
      </c>
      <c r="N34" s="90">
        <f t="shared" si="8"/>
        <v>1</v>
      </c>
      <c r="O34" s="90">
        <f t="shared" si="8"/>
        <v>1</v>
      </c>
    </row>
    <row r="35" spans="1:15" x14ac:dyDescent="0.25">
      <c r="B35" s="11" t="s">
        <v>185</v>
      </c>
      <c r="C35" s="90">
        <f t="shared" ref="C35:O35" si="9">IF(C12=1,1,C12*0.9)</f>
        <v>0.747</v>
      </c>
      <c r="D35" s="90">
        <f t="shared" si="9"/>
        <v>0.747</v>
      </c>
      <c r="E35" s="90">
        <f t="shared" si="9"/>
        <v>0.747</v>
      </c>
      <c r="F35" s="90">
        <f t="shared" si="9"/>
        <v>0.747</v>
      </c>
      <c r="G35" s="90">
        <f t="shared" si="9"/>
        <v>0.747</v>
      </c>
      <c r="H35" s="90">
        <f t="shared" si="9"/>
        <v>0.747</v>
      </c>
      <c r="I35" s="90">
        <f t="shared" si="9"/>
        <v>0.747</v>
      </c>
      <c r="J35" s="90">
        <f t="shared" si="9"/>
        <v>0.747</v>
      </c>
      <c r="K35" s="90">
        <f t="shared" si="9"/>
        <v>0.747</v>
      </c>
      <c r="L35" s="90">
        <f t="shared" si="9"/>
        <v>0.747</v>
      </c>
      <c r="M35" s="90">
        <f t="shared" si="9"/>
        <v>0.747</v>
      </c>
      <c r="N35" s="90">
        <f t="shared" si="9"/>
        <v>0.747</v>
      </c>
      <c r="O35" s="90">
        <f t="shared" si="9"/>
        <v>0.747</v>
      </c>
    </row>
    <row r="36" spans="1:15" x14ac:dyDescent="0.25">
      <c r="B36" s="11" t="s">
        <v>188</v>
      </c>
      <c r="C36" s="90">
        <f t="shared" ref="C36:O36" si="10">IF(C13=1,1,C13*0.9)</f>
        <v>1</v>
      </c>
      <c r="D36" s="90">
        <f t="shared" si="10"/>
        <v>1</v>
      </c>
      <c r="E36" s="90">
        <f t="shared" si="10"/>
        <v>0.621</v>
      </c>
      <c r="F36" s="90">
        <f t="shared" si="10"/>
        <v>0.621</v>
      </c>
      <c r="G36" s="90">
        <f t="shared" si="10"/>
        <v>0.621</v>
      </c>
      <c r="H36" s="90">
        <f t="shared" si="10"/>
        <v>1</v>
      </c>
      <c r="I36" s="90">
        <f t="shared" si="10"/>
        <v>1</v>
      </c>
      <c r="J36" s="90">
        <f t="shared" si="10"/>
        <v>1</v>
      </c>
      <c r="K36" s="90">
        <f t="shared" si="10"/>
        <v>1</v>
      </c>
      <c r="L36" s="90">
        <f t="shared" si="10"/>
        <v>1</v>
      </c>
      <c r="M36" s="90">
        <f t="shared" si="10"/>
        <v>1</v>
      </c>
      <c r="N36" s="90">
        <f t="shared" si="10"/>
        <v>1</v>
      </c>
      <c r="O36" s="90">
        <f t="shared" si="10"/>
        <v>1</v>
      </c>
    </row>
    <row r="37" spans="1:15" x14ac:dyDescent="0.25">
      <c r="B37" s="11" t="s">
        <v>189</v>
      </c>
      <c r="C37" s="90">
        <f t="shared" ref="C37:O37" si="11">IF(C14=1,1,C14*0.9)</f>
        <v>1</v>
      </c>
      <c r="D37" s="90">
        <f t="shared" si="11"/>
        <v>1</v>
      </c>
      <c r="E37" s="90">
        <f t="shared" si="11"/>
        <v>1</v>
      </c>
      <c r="F37" s="90">
        <f t="shared" si="11"/>
        <v>1</v>
      </c>
      <c r="G37" s="90">
        <f t="shared" si="11"/>
        <v>1</v>
      </c>
      <c r="H37" s="90">
        <f t="shared" si="11"/>
        <v>1</v>
      </c>
      <c r="I37" s="90">
        <f t="shared" si="11"/>
        <v>1</v>
      </c>
      <c r="J37" s="90">
        <f t="shared" si="11"/>
        <v>1</v>
      </c>
      <c r="K37" s="90">
        <f t="shared" si="11"/>
        <v>1</v>
      </c>
      <c r="L37" s="90">
        <f t="shared" si="11"/>
        <v>0.29700000000000004</v>
      </c>
      <c r="M37" s="90">
        <f t="shared" si="11"/>
        <v>0.29700000000000004</v>
      </c>
      <c r="N37" s="90">
        <f t="shared" si="11"/>
        <v>0.29700000000000004</v>
      </c>
      <c r="O37" s="90">
        <f t="shared" si="11"/>
        <v>0.29700000000000004</v>
      </c>
    </row>
    <row r="38" spans="1:15" x14ac:dyDescent="0.25">
      <c r="B38" s="5" t="s">
        <v>192</v>
      </c>
      <c r="C38" s="90">
        <f t="shared" ref="C38:O38" si="12">IF(C15=1,1,C15*0.9)</f>
        <v>1</v>
      </c>
      <c r="D38" s="90">
        <f t="shared" si="12"/>
        <v>1</v>
      </c>
      <c r="E38" s="90">
        <f t="shared" si="12"/>
        <v>0.75600000000000001</v>
      </c>
      <c r="F38" s="90">
        <f t="shared" si="12"/>
        <v>0.75600000000000001</v>
      </c>
      <c r="G38" s="90">
        <f t="shared" si="12"/>
        <v>1</v>
      </c>
      <c r="H38" s="90">
        <f t="shared" si="12"/>
        <v>1</v>
      </c>
      <c r="I38" s="90">
        <f t="shared" si="12"/>
        <v>1</v>
      </c>
      <c r="J38" s="90">
        <f t="shared" si="12"/>
        <v>1</v>
      </c>
      <c r="K38" s="90">
        <f t="shared" si="12"/>
        <v>1</v>
      </c>
      <c r="L38" s="90">
        <f t="shared" si="12"/>
        <v>1</v>
      </c>
      <c r="M38" s="90">
        <f t="shared" si="12"/>
        <v>1</v>
      </c>
      <c r="N38" s="90">
        <f t="shared" si="12"/>
        <v>1</v>
      </c>
      <c r="O38" s="90">
        <f t="shared" si="12"/>
        <v>1</v>
      </c>
    </row>
    <row r="40" spans="1:15" ht="13" customHeight="1" x14ac:dyDescent="0.3">
      <c r="A40" s="4" t="s">
        <v>325</v>
      </c>
      <c r="B40" s="11"/>
    </row>
    <row r="41" spans="1:15" x14ac:dyDescent="0.25">
      <c r="B41" s="5" t="s">
        <v>172</v>
      </c>
      <c r="C41" s="90">
        <f t="shared" ref="C41:O41" si="13">IF(C18=1,1,C18*0.9)</f>
        <v>1</v>
      </c>
      <c r="D41" s="90">
        <f t="shared" si="13"/>
        <v>1</v>
      </c>
      <c r="E41" s="90">
        <f t="shared" si="13"/>
        <v>1</v>
      </c>
      <c r="F41" s="90">
        <f t="shared" si="13"/>
        <v>1</v>
      </c>
      <c r="G41" s="90">
        <f t="shared" si="13"/>
        <v>1</v>
      </c>
      <c r="H41" s="90">
        <f t="shared" si="13"/>
        <v>1</v>
      </c>
      <c r="I41" s="90">
        <f t="shared" si="13"/>
        <v>1</v>
      </c>
      <c r="J41" s="90">
        <f t="shared" si="13"/>
        <v>1</v>
      </c>
      <c r="K41" s="90">
        <f t="shared" si="13"/>
        <v>1</v>
      </c>
      <c r="L41" s="90">
        <f t="shared" si="13"/>
        <v>1</v>
      </c>
      <c r="M41" s="90">
        <f t="shared" si="13"/>
        <v>1</v>
      </c>
      <c r="N41" s="90">
        <f t="shared" si="13"/>
        <v>1</v>
      </c>
      <c r="O41" s="90">
        <f t="shared" si="13"/>
        <v>1</v>
      </c>
    </row>
    <row r="42" spans="1:15" x14ac:dyDescent="0.25">
      <c r="B42" s="5" t="s">
        <v>173</v>
      </c>
      <c r="C42" s="90">
        <f t="shared" ref="C42:D44" si="14">IF(C19=1,1,C19*0.9)</f>
        <v>1</v>
      </c>
      <c r="D42" s="90">
        <f t="shared" si="14"/>
        <v>1</v>
      </c>
      <c r="E42" s="90">
        <f>IF(ISBLANK('Nutritional status distribution'!E$14),0.54,(0.54*'Nutritional status distribution'!E$14/(1-0.54*'Nutritional status distribution'!E$14))
/ ('Nutritional status distribution'!E$14/(1-'Nutritional status distribution'!E$14)))</f>
        <v>0.32311790834685222</v>
      </c>
      <c r="F42" s="90">
        <f>IF(ISBLANK('Nutritional status distribution'!F$14),0.54,(0.54*'Nutritional status distribution'!F$14/(1-0.54*'Nutritional status distribution'!F$14))
/ ('Nutritional status distribution'!F$14/(1-'Nutritional status distribution'!F$14)))</f>
        <v>0.45470085461312404</v>
      </c>
      <c r="G42" s="90">
        <f>IF(ISBLANK('Nutritional status distribution'!G$14),0.54,(0.54*'Nutritional status distribution'!G$14/(1-0.54*'Nutritional status distribution'!G$14))
/ ('Nutritional status distribution'!G$14/(1-'Nutritional status distribution'!G$14)))</f>
        <v>0.45470085461312404</v>
      </c>
      <c r="H42" s="90">
        <f>IF(ISBLANK('Nutritional status distribution'!H$14),0.54,(0.54*'Nutritional status distribution'!H$14/(1-0.54*'Nutritional status distribution'!H$14))
/ ('Nutritional status distribution'!H$14/(1-'Nutritional status distribution'!H$14)))</f>
        <v>0.41286089908865803</v>
      </c>
      <c r="I42" s="90">
        <f>IF(ISBLANK('Nutritional status distribution'!I$14),0.54,(0.54*'Nutritional status distribution'!I$14/(1-0.54*'Nutritional status distribution'!I$14))
/ ('Nutritional status distribution'!I$14/(1-'Nutritional status distribution'!I$14)))</f>
        <v>0.41286089908865803</v>
      </c>
      <c r="J42" s="90">
        <f>IF(ISBLANK('Nutritional status distribution'!J$14),0.54,(0.54*'Nutritional status distribution'!J$14/(1-0.54*'Nutritional status distribution'!J$14))
/ ('Nutritional status distribution'!J$14/(1-'Nutritional status distribution'!J$14)))</f>
        <v>0.41286089908865803</v>
      </c>
      <c r="K42" s="90">
        <f>IF(ISBLANK('Nutritional status distribution'!K$14),0.54,(0.54*'Nutritional status distribution'!K$14/(1-0.54*'Nutritional status distribution'!K$14))
/ ('Nutritional status distribution'!K$14/(1-'Nutritional status distribution'!K$14)))</f>
        <v>0.41286089908865803</v>
      </c>
      <c r="L42" s="90">
        <f>IF(ISBLANK('Nutritional status distribution'!L$14),0.54,(0.54*'Nutritional status distribution'!L$14/(1-0.54*'Nutritional status distribution'!L$14))
/ ('Nutritional status distribution'!L$14/(1-'Nutritional status distribution'!L$14)))</f>
        <v>0.4196608800968914</v>
      </c>
      <c r="M42" s="90">
        <f>IF(ISBLANK('Nutritional status distribution'!M$14),0.54,(0.54*'Nutritional status distribution'!M$14/(1-0.54*'Nutritional status distribution'!M$14))
/ ('Nutritional status distribution'!M$14/(1-'Nutritional status distribution'!M$14)))</f>
        <v>0.4196608800968914</v>
      </c>
      <c r="N42" s="90">
        <f>IF(ISBLANK('Nutritional status distribution'!N$14),0.54,(0.54*'Nutritional status distribution'!N$14/(1-0.54*'Nutritional status distribution'!N$14))
/ ('Nutritional status distribution'!N$14/(1-'Nutritional status distribution'!N$14)))</f>
        <v>0.4196608800968914</v>
      </c>
      <c r="O42" s="90">
        <f>IF(ISBLANK('Nutritional status distribution'!O$14),0.54,(0.54*'Nutritional status distribution'!O$14/(1-0.54*'Nutritional status distribution'!O$14))
/ ('Nutritional status distribution'!O$14/(1-'Nutritional status distribution'!O$14)))</f>
        <v>0.4196608800968914</v>
      </c>
    </row>
    <row r="43" spans="1:15" x14ac:dyDescent="0.25">
      <c r="B43" s="5" t="s">
        <v>174</v>
      </c>
      <c r="C43" s="90">
        <f t="shared" si="14"/>
        <v>1</v>
      </c>
      <c r="D43" s="90">
        <f t="shared" si="14"/>
        <v>1</v>
      </c>
      <c r="E43" s="90">
        <f t="shared" ref="E43:O43" si="15">IF(E20=1,1,E20*0.9)</f>
        <v>1</v>
      </c>
      <c r="F43" s="90">
        <f t="shared" si="15"/>
        <v>1</v>
      </c>
      <c r="G43" s="90">
        <f t="shared" si="15"/>
        <v>1</v>
      </c>
      <c r="H43" s="90">
        <f t="shared" si="15"/>
        <v>1</v>
      </c>
      <c r="I43" s="90">
        <f t="shared" si="15"/>
        <v>1</v>
      </c>
      <c r="J43" s="90">
        <f t="shared" si="15"/>
        <v>1</v>
      </c>
      <c r="K43" s="90">
        <f t="shared" si="15"/>
        <v>1</v>
      </c>
      <c r="L43" s="90">
        <f t="shared" si="15"/>
        <v>1</v>
      </c>
      <c r="M43" s="90">
        <f t="shared" si="15"/>
        <v>1</v>
      </c>
      <c r="N43" s="90">
        <f t="shared" si="15"/>
        <v>1</v>
      </c>
      <c r="O43" s="90">
        <f t="shared" si="15"/>
        <v>1</v>
      </c>
    </row>
    <row r="44" spans="1:15" x14ac:dyDescent="0.25">
      <c r="B44" s="5" t="s">
        <v>182</v>
      </c>
      <c r="C44" s="90">
        <f t="shared" si="14"/>
        <v>1</v>
      </c>
      <c r="D44" s="90">
        <f t="shared" si="14"/>
        <v>1</v>
      </c>
      <c r="E44" s="90">
        <f>IF(ISBLANK('Nutritional status distribution'!E$14),0.7,(0.7*'Nutritional status distribution'!E$14/(1-0.7*'Nutritional status distribution'!E$14))
/ ('Nutritional status distribution'!E$14/(1-'Nutritional status distribution'!E$14)))</f>
        <v>0.48687187142684485</v>
      </c>
      <c r="F44" s="90">
        <f>IF(ISBLANK('Nutritional status distribution'!F$14),0.7,(0.7*'Nutritional status distribution'!F$14/(1-0.7*'Nutritional status distribution'!F$14))
/ ('Nutritional status distribution'!F$14/(1-'Nutritional status distribution'!F$14)))</f>
        <v>0.62369474978952644</v>
      </c>
      <c r="G44" s="90">
        <f>IF(ISBLANK('Nutritional status distribution'!G$14),0.7,(0.7*'Nutritional status distribution'!G$14/(1-0.7*'Nutritional status distribution'!G$14))
/ ('Nutritional status distribution'!G$14/(1-'Nutritional status distribution'!G$14)))</f>
        <v>0.62369474978952644</v>
      </c>
      <c r="H44" s="90">
        <f>IF(ISBLANK('Nutritional status distribution'!H$14),0.7,(0.7*'Nutritional status distribution'!H$14/(1-0.7*'Nutritional status distribution'!H$14))
/ ('Nutritional status distribution'!H$14/(1-'Nutritional status distribution'!H$14)))</f>
        <v>0.58292784651744745</v>
      </c>
      <c r="I44" s="90">
        <f>IF(ISBLANK('Nutritional status distribution'!I$14),0.7,(0.7*'Nutritional status distribution'!I$14/(1-0.7*'Nutritional status distribution'!I$14))
/ ('Nutritional status distribution'!I$14/(1-'Nutritional status distribution'!I$14)))</f>
        <v>0.58292784651744745</v>
      </c>
      <c r="J44" s="90">
        <f>IF(ISBLANK('Nutritional status distribution'!J$14),0.7,(0.7*'Nutritional status distribution'!J$14/(1-0.7*'Nutritional status distribution'!J$14))
/ ('Nutritional status distribution'!J$14/(1-'Nutritional status distribution'!J$14)))</f>
        <v>0.58292784651744745</v>
      </c>
      <c r="K44" s="90">
        <f>IF(ISBLANK('Nutritional status distribution'!K$14),0.7,(0.7*'Nutritional status distribution'!K$14/(1-0.7*'Nutritional status distribution'!K$14))
/ ('Nutritional status distribution'!K$14/(1-'Nutritional status distribution'!K$14)))</f>
        <v>0.58292784651744745</v>
      </c>
      <c r="L44" s="90">
        <f>IF(ISBLANK('Nutritional status distribution'!L$14),0.7,(0.7*'Nutritional status distribution'!L$14/(1-0.7*'Nutritional status distribution'!L$14))
/ ('Nutritional status distribution'!L$14/(1-'Nutritional status distribution'!L$14)))</f>
        <v>0.5897155361050328</v>
      </c>
      <c r="M44" s="90">
        <f>IF(ISBLANK('Nutritional status distribution'!M$14),0.7,(0.7*'Nutritional status distribution'!M$14/(1-0.7*'Nutritional status distribution'!M$14))
/ ('Nutritional status distribution'!M$14/(1-'Nutritional status distribution'!M$14)))</f>
        <v>0.5897155361050328</v>
      </c>
      <c r="N44" s="90">
        <f>IF(ISBLANK('Nutritional status distribution'!N$14),0.7,(0.7*'Nutritional status distribution'!N$14/(1-0.7*'Nutritional status distribution'!N$14))
/ ('Nutritional status distribution'!N$14/(1-'Nutritional status distribution'!N$14)))</f>
        <v>0.5897155361050328</v>
      </c>
      <c r="O44" s="90">
        <f>IF(ISBLANK('Nutritional status distribution'!O$14),0.7,(0.7*'Nutritional status distribution'!O$14/(1-0.7*'Nutritional status distribution'!O$14))
/ ('Nutritional status distribution'!O$14/(1-'Nutritional status distribution'!O$14)))</f>
        <v>0.5897155361050328</v>
      </c>
    </row>
    <row r="46" spans="1:15" s="92" customFormat="1" ht="13" customHeight="1" x14ac:dyDescent="0.3">
      <c r="A46" s="92" t="s">
        <v>239</v>
      </c>
    </row>
    <row r="47" spans="1:15" ht="26" customHeight="1" x14ac:dyDescent="0.3">
      <c r="A47" s="4"/>
      <c r="B47" s="4"/>
      <c r="C47" s="70" t="s">
        <v>67</v>
      </c>
      <c r="D47" s="70" t="s">
        <v>77</v>
      </c>
      <c r="E47" s="70" t="s">
        <v>78</v>
      </c>
      <c r="F47" s="70" t="s">
        <v>79</v>
      </c>
      <c r="G47" s="70" t="s">
        <v>80</v>
      </c>
      <c r="H47" s="70" t="s">
        <v>58</v>
      </c>
      <c r="I47" s="70" t="s">
        <v>59</v>
      </c>
      <c r="J47" s="70" t="s">
        <v>60</v>
      </c>
      <c r="K47" s="70" t="s">
        <v>61</v>
      </c>
      <c r="L47" s="70" t="s">
        <v>112</v>
      </c>
      <c r="M47" s="70" t="s">
        <v>113</v>
      </c>
      <c r="N47" s="70" t="s">
        <v>114</v>
      </c>
      <c r="O47" s="70" t="s">
        <v>115</v>
      </c>
    </row>
    <row r="48" spans="1:15" ht="13" customHeight="1" x14ac:dyDescent="0.3">
      <c r="A48" s="4" t="s">
        <v>326</v>
      </c>
    </row>
    <row r="49" spans="1:15" x14ac:dyDescent="0.25">
      <c r="B49" s="11" t="s">
        <v>170</v>
      </c>
      <c r="C49" s="90">
        <f t="shared" ref="C49:O49" si="16">IF(C3=1,1,C3*1.05)</f>
        <v>0.55650000000000011</v>
      </c>
      <c r="D49" s="90">
        <f t="shared" si="16"/>
        <v>0.55650000000000011</v>
      </c>
      <c r="E49" s="90">
        <f t="shared" si="16"/>
        <v>1</v>
      </c>
      <c r="F49" s="90">
        <f t="shared" si="16"/>
        <v>1</v>
      </c>
      <c r="G49" s="90">
        <f t="shared" si="16"/>
        <v>1</v>
      </c>
      <c r="H49" s="90">
        <f t="shared" si="16"/>
        <v>1</v>
      </c>
      <c r="I49" s="90">
        <f t="shared" si="16"/>
        <v>1</v>
      </c>
      <c r="J49" s="90">
        <f t="shared" si="16"/>
        <v>1</v>
      </c>
      <c r="K49" s="90">
        <f t="shared" si="16"/>
        <v>1</v>
      </c>
      <c r="L49" s="90">
        <f t="shared" si="16"/>
        <v>1</v>
      </c>
      <c r="M49" s="90">
        <f t="shared" si="16"/>
        <v>1</v>
      </c>
      <c r="N49" s="90">
        <f t="shared" si="16"/>
        <v>1</v>
      </c>
      <c r="O49" s="90">
        <f t="shared" si="16"/>
        <v>1</v>
      </c>
    </row>
    <row r="50" spans="1:15" x14ac:dyDescent="0.25">
      <c r="B50" s="11" t="s">
        <v>175</v>
      </c>
      <c r="C50" s="90">
        <f t="shared" ref="C50:O50" si="17">IF(C4=1,1,C4*1.05)</f>
        <v>1</v>
      </c>
      <c r="D50" s="90">
        <f t="shared" si="17"/>
        <v>1</v>
      </c>
      <c r="E50" s="90">
        <f t="shared" si="17"/>
        <v>1</v>
      </c>
      <c r="F50" s="90">
        <f t="shared" si="17"/>
        <v>1</v>
      </c>
      <c r="G50" s="90">
        <f t="shared" si="17"/>
        <v>1</v>
      </c>
      <c r="H50" s="90">
        <f t="shared" si="17"/>
        <v>0.76649999999999996</v>
      </c>
      <c r="I50" s="90">
        <f t="shared" si="17"/>
        <v>0.76649999999999996</v>
      </c>
      <c r="J50" s="90">
        <f t="shared" si="17"/>
        <v>0.76649999999999996</v>
      </c>
      <c r="K50" s="90">
        <f t="shared" si="17"/>
        <v>0.76649999999999996</v>
      </c>
      <c r="L50" s="90">
        <f t="shared" si="17"/>
        <v>1</v>
      </c>
      <c r="M50" s="90">
        <f t="shared" si="17"/>
        <v>1</v>
      </c>
      <c r="N50" s="90">
        <f t="shared" si="17"/>
        <v>1</v>
      </c>
      <c r="O50" s="90">
        <f t="shared" si="17"/>
        <v>1</v>
      </c>
    </row>
    <row r="51" spans="1:15" x14ac:dyDescent="0.25">
      <c r="B51" s="11" t="s">
        <v>176</v>
      </c>
      <c r="C51" s="90">
        <f t="shared" ref="C51:O51" si="18">IF(C5=1,1,C5*1.05)</f>
        <v>1</v>
      </c>
      <c r="D51" s="90">
        <f t="shared" si="18"/>
        <v>1</v>
      </c>
      <c r="E51" s="90">
        <f t="shared" si="18"/>
        <v>1</v>
      </c>
      <c r="F51" s="90">
        <f t="shared" si="18"/>
        <v>1</v>
      </c>
      <c r="G51" s="90">
        <f t="shared" si="18"/>
        <v>1</v>
      </c>
      <c r="H51" s="90">
        <f t="shared" si="18"/>
        <v>0.76649999999999996</v>
      </c>
      <c r="I51" s="90">
        <f t="shared" si="18"/>
        <v>0.76649999999999996</v>
      </c>
      <c r="J51" s="90">
        <f t="shared" si="18"/>
        <v>0.76649999999999996</v>
      </c>
      <c r="K51" s="90">
        <f t="shared" si="18"/>
        <v>0.76649999999999996</v>
      </c>
      <c r="L51" s="90">
        <f t="shared" si="18"/>
        <v>1</v>
      </c>
      <c r="M51" s="90">
        <f t="shared" si="18"/>
        <v>1</v>
      </c>
      <c r="N51" s="90">
        <f t="shared" si="18"/>
        <v>1</v>
      </c>
      <c r="O51" s="90">
        <f t="shared" si="18"/>
        <v>1</v>
      </c>
    </row>
    <row r="52" spans="1:15" x14ac:dyDescent="0.25">
      <c r="B52" s="11" t="s">
        <v>177</v>
      </c>
      <c r="C52" s="90">
        <f t="shared" ref="C52:O52" si="19">IF(C6=1,1,C6*1.05)</f>
        <v>1</v>
      </c>
      <c r="D52" s="90">
        <f t="shared" si="19"/>
        <v>1</v>
      </c>
      <c r="E52" s="90">
        <f t="shared" si="19"/>
        <v>1</v>
      </c>
      <c r="F52" s="90">
        <f t="shared" si="19"/>
        <v>1</v>
      </c>
      <c r="G52" s="90">
        <f t="shared" si="19"/>
        <v>1</v>
      </c>
      <c r="H52" s="90">
        <f t="shared" si="19"/>
        <v>0.76649999999999996</v>
      </c>
      <c r="I52" s="90">
        <f t="shared" si="19"/>
        <v>0.76649999999999996</v>
      </c>
      <c r="J52" s="90">
        <f t="shared" si="19"/>
        <v>0.76649999999999996</v>
      </c>
      <c r="K52" s="90">
        <f t="shared" si="19"/>
        <v>0.76649999999999996</v>
      </c>
      <c r="L52" s="90">
        <f t="shared" si="19"/>
        <v>1</v>
      </c>
      <c r="M52" s="90">
        <f t="shared" si="19"/>
        <v>1</v>
      </c>
      <c r="N52" s="90">
        <f t="shared" si="19"/>
        <v>1</v>
      </c>
      <c r="O52" s="90">
        <f t="shared" si="19"/>
        <v>1</v>
      </c>
    </row>
    <row r="53" spans="1:15" x14ac:dyDescent="0.25">
      <c r="B53" s="11" t="s">
        <v>178</v>
      </c>
      <c r="C53" s="90">
        <f t="shared" ref="C53:O53" si="20">IF(C7=1,1,C7*1.05)</f>
        <v>1</v>
      </c>
      <c r="D53" s="90">
        <f t="shared" si="20"/>
        <v>1</v>
      </c>
      <c r="E53" s="90">
        <f t="shared" si="20"/>
        <v>1</v>
      </c>
      <c r="F53" s="90">
        <f t="shared" si="20"/>
        <v>1</v>
      </c>
      <c r="G53" s="90">
        <f t="shared" si="20"/>
        <v>1</v>
      </c>
      <c r="H53" s="90">
        <f t="shared" si="20"/>
        <v>0.76649999999999996</v>
      </c>
      <c r="I53" s="90">
        <f t="shared" si="20"/>
        <v>0.76649999999999996</v>
      </c>
      <c r="J53" s="90">
        <f t="shared" si="20"/>
        <v>0.76649999999999996</v>
      </c>
      <c r="K53" s="90">
        <f t="shared" si="20"/>
        <v>0.76649999999999996</v>
      </c>
      <c r="L53" s="90">
        <f t="shared" si="20"/>
        <v>1</v>
      </c>
      <c r="M53" s="90">
        <f t="shared" si="20"/>
        <v>1</v>
      </c>
      <c r="N53" s="90">
        <f t="shared" si="20"/>
        <v>1</v>
      </c>
      <c r="O53" s="90">
        <f t="shared" si="20"/>
        <v>1</v>
      </c>
    </row>
    <row r="54" spans="1:15" x14ac:dyDescent="0.25">
      <c r="B54" s="5" t="s">
        <v>179</v>
      </c>
      <c r="C54" s="90">
        <f t="shared" ref="C54:O54" si="21">IF(C8=1,1,C8*1.05)</f>
        <v>1</v>
      </c>
      <c r="D54" s="90">
        <f t="shared" si="21"/>
        <v>1</v>
      </c>
      <c r="E54" s="90">
        <f t="shared" si="21"/>
        <v>1</v>
      </c>
      <c r="F54" s="90">
        <f t="shared" si="21"/>
        <v>1</v>
      </c>
      <c r="G54" s="90">
        <f t="shared" si="21"/>
        <v>1</v>
      </c>
      <c r="H54" s="90">
        <f t="shared" si="21"/>
        <v>1</v>
      </c>
      <c r="I54" s="90">
        <f t="shared" si="21"/>
        <v>1</v>
      </c>
      <c r="J54" s="90">
        <f t="shared" si="21"/>
        <v>1</v>
      </c>
      <c r="K54" s="90">
        <f t="shared" si="21"/>
        <v>1</v>
      </c>
      <c r="L54" s="90">
        <f t="shared" si="21"/>
        <v>0.51449999999999996</v>
      </c>
      <c r="M54" s="90">
        <f t="shared" si="21"/>
        <v>0.51449999999999996</v>
      </c>
      <c r="N54" s="90">
        <f t="shared" si="21"/>
        <v>0.51449999999999996</v>
      </c>
      <c r="O54" s="90">
        <f t="shared" si="21"/>
        <v>0.51449999999999996</v>
      </c>
    </row>
    <row r="55" spans="1:15" x14ac:dyDescent="0.25">
      <c r="B55" s="5" t="s">
        <v>180</v>
      </c>
      <c r="C55" s="90">
        <f t="shared" ref="C55:O55" si="22">IF(C9=1,1,C9*1.05)</f>
        <v>1</v>
      </c>
      <c r="D55" s="90">
        <f t="shared" si="22"/>
        <v>1</v>
      </c>
      <c r="E55" s="90">
        <f t="shared" si="22"/>
        <v>1</v>
      </c>
      <c r="F55" s="90">
        <f t="shared" si="22"/>
        <v>1</v>
      </c>
      <c r="G55" s="90">
        <f t="shared" si="22"/>
        <v>1</v>
      </c>
      <c r="H55" s="90">
        <f t="shared" si="22"/>
        <v>1</v>
      </c>
      <c r="I55" s="90">
        <f t="shared" si="22"/>
        <v>1</v>
      </c>
      <c r="J55" s="90">
        <f t="shared" si="22"/>
        <v>1</v>
      </c>
      <c r="K55" s="90">
        <f t="shared" si="22"/>
        <v>1</v>
      </c>
      <c r="L55" s="90">
        <f t="shared" si="22"/>
        <v>0.51449999999999996</v>
      </c>
      <c r="M55" s="90">
        <f t="shared" si="22"/>
        <v>0.51449999999999996</v>
      </c>
      <c r="N55" s="90">
        <f t="shared" si="22"/>
        <v>0.51449999999999996</v>
      </c>
      <c r="O55" s="90">
        <f t="shared" si="22"/>
        <v>0.51449999999999996</v>
      </c>
    </row>
    <row r="56" spans="1:15" x14ac:dyDescent="0.25">
      <c r="B56" s="11" t="s">
        <v>181</v>
      </c>
      <c r="C56" s="90">
        <f t="shared" ref="C56:O56" si="23">IF(C10=1,1,C10*1.05)</f>
        <v>1</v>
      </c>
      <c r="D56" s="90">
        <f t="shared" si="23"/>
        <v>1</v>
      </c>
      <c r="E56" s="90">
        <f t="shared" si="23"/>
        <v>1</v>
      </c>
      <c r="F56" s="90">
        <f t="shared" si="23"/>
        <v>1</v>
      </c>
      <c r="G56" s="90">
        <f t="shared" si="23"/>
        <v>1</v>
      </c>
      <c r="H56" s="90">
        <f t="shared" si="23"/>
        <v>1</v>
      </c>
      <c r="I56" s="90">
        <f t="shared" si="23"/>
        <v>1</v>
      </c>
      <c r="J56" s="90">
        <f t="shared" si="23"/>
        <v>1</v>
      </c>
      <c r="K56" s="90">
        <f t="shared" si="23"/>
        <v>1</v>
      </c>
      <c r="L56" s="90">
        <f t="shared" si="23"/>
        <v>0.87149999999999994</v>
      </c>
      <c r="M56" s="90">
        <f t="shared" si="23"/>
        <v>0.87149999999999994</v>
      </c>
      <c r="N56" s="90">
        <f t="shared" si="23"/>
        <v>0.87149999999999994</v>
      </c>
      <c r="O56" s="90">
        <f t="shared" si="23"/>
        <v>0.87149999999999994</v>
      </c>
    </row>
    <row r="57" spans="1:15" x14ac:dyDescent="0.25">
      <c r="B57" s="5" t="s">
        <v>184</v>
      </c>
      <c r="C57" s="90">
        <f t="shared" ref="C57:O57" si="24">IF(C11=1,1,C11*1.05)</f>
        <v>1</v>
      </c>
      <c r="D57" s="90">
        <f t="shared" si="24"/>
        <v>1</v>
      </c>
      <c r="E57" s="90">
        <f t="shared" si="24"/>
        <v>0.72449999999999992</v>
      </c>
      <c r="F57" s="90">
        <f t="shared" si="24"/>
        <v>0.72449999999999992</v>
      </c>
      <c r="G57" s="90">
        <f t="shared" si="24"/>
        <v>1</v>
      </c>
      <c r="H57" s="90">
        <f t="shared" si="24"/>
        <v>1</v>
      </c>
      <c r="I57" s="90">
        <f t="shared" si="24"/>
        <v>1</v>
      </c>
      <c r="J57" s="90">
        <f t="shared" si="24"/>
        <v>1</v>
      </c>
      <c r="K57" s="90">
        <f t="shared" si="24"/>
        <v>1</v>
      </c>
      <c r="L57" s="90">
        <f t="shared" si="24"/>
        <v>1</v>
      </c>
      <c r="M57" s="90">
        <f t="shared" si="24"/>
        <v>1</v>
      </c>
      <c r="N57" s="90">
        <f t="shared" si="24"/>
        <v>1</v>
      </c>
      <c r="O57" s="90">
        <f t="shared" si="24"/>
        <v>1</v>
      </c>
    </row>
    <row r="58" spans="1:15" x14ac:dyDescent="0.25">
      <c r="B58" s="11" t="s">
        <v>185</v>
      </c>
      <c r="C58" s="90">
        <f t="shared" ref="C58:O58" si="25">IF(C12=1,1,C12*1.05)</f>
        <v>0.87149999999999994</v>
      </c>
      <c r="D58" s="90">
        <f t="shared" si="25"/>
        <v>0.87149999999999994</v>
      </c>
      <c r="E58" s="90">
        <f t="shared" si="25"/>
        <v>0.87149999999999994</v>
      </c>
      <c r="F58" s="90">
        <f t="shared" si="25"/>
        <v>0.87149999999999994</v>
      </c>
      <c r="G58" s="90">
        <f t="shared" si="25"/>
        <v>0.87149999999999994</v>
      </c>
      <c r="H58" s="90">
        <f t="shared" si="25"/>
        <v>0.87149999999999994</v>
      </c>
      <c r="I58" s="90">
        <f t="shared" si="25"/>
        <v>0.87149999999999994</v>
      </c>
      <c r="J58" s="90">
        <f t="shared" si="25"/>
        <v>0.87149999999999994</v>
      </c>
      <c r="K58" s="90">
        <f t="shared" si="25"/>
        <v>0.87149999999999994</v>
      </c>
      <c r="L58" s="90">
        <f t="shared" si="25"/>
        <v>0.87149999999999994</v>
      </c>
      <c r="M58" s="90">
        <f t="shared" si="25"/>
        <v>0.87149999999999994</v>
      </c>
      <c r="N58" s="90">
        <f t="shared" si="25"/>
        <v>0.87149999999999994</v>
      </c>
      <c r="O58" s="90">
        <f t="shared" si="25"/>
        <v>0.87149999999999994</v>
      </c>
    </row>
    <row r="59" spans="1:15" x14ac:dyDescent="0.25">
      <c r="B59" s="11" t="s">
        <v>188</v>
      </c>
      <c r="C59" s="90">
        <f t="shared" ref="C59:O59" si="26">IF(C13=1,1,C13*1.05)</f>
        <v>1</v>
      </c>
      <c r="D59" s="90">
        <f t="shared" si="26"/>
        <v>1</v>
      </c>
      <c r="E59" s="90">
        <f t="shared" si="26"/>
        <v>0.72449999999999992</v>
      </c>
      <c r="F59" s="90">
        <f t="shared" si="26"/>
        <v>0.72449999999999992</v>
      </c>
      <c r="G59" s="90">
        <f t="shared" si="26"/>
        <v>0.72449999999999992</v>
      </c>
      <c r="H59" s="90">
        <f t="shared" si="26"/>
        <v>1</v>
      </c>
      <c r="I59" s="90">
        <f t="shared" si="26"/>
        <v>1</v>
      </c>
      <c r="J59" s="90">
        <f t="shared" si="26"/>
        <v>1</v>
      </c>
      <c r="K59" s="90">
        <f t="shared" si="26"/>
        <v>1</v>
      </c>
      <c r="L59" s="90">
        <f t="shared" si="26"/>
        <v>1</v>
      </c>
      <c r="M59" s="90">
        <f t="shared" si="26"/>
        <v>1</v>
      </c>
      <c r="N59" s="90">
        <f t="shared" si="26"/>
        <v>1</v>
      </c>
      <c r="O59" s="90">
        <f t="shared" si="26"/>
        <v>1</v>
      </c>
    </row>
    <row r="60" spans="1:15" x14ac:dyDescent="0.25">
      <c r="B60" s="11" t="s">
        <v>189</v>
      </c>
      <c r="C60" s="90">
        <f t="shared" ref="C60:O60" si="27">IF(C14=1,1,C14*1.05)</f>
        <v>1</v>
      </c>
      <c r="D60" s="90">
        <f t="shared" si="27"/>
        <v>1</v>
      </c>
      <c r="E60" s="90">
        <f t="shared" si="27"/>
        <v>1</v>
      </c>
      <c r="F60" s="90">
        <f t="shared" si="27"/>
        <v>1</v>
      </c>
      <c r="G60" s="90">
        <f t="shared" si="27"/>
        <v>1</v>
      </c>
      <c r="H60" s="90">
        <f t="shared" si="27"/>
        <v>1</v>
      </c>
      <c r="I60" s="90">
        <f t="shared" si="27"/>
        <v>1</v>
      </c>
      <c r="J60" s="90">
        <f t="shared" si="27"/>
        <v>1</v>
      </c>
      <c r="K60" s="90">
        <f t="shared" si="27"/>
        <v>1</v>
      </c>
      <c r="L60" s="90">
        <f t="shared" si="27"/>
        <v>0.34650000000000003</v>
      </c>
      <c r="M60" s="90">
        <f t="shared" si="27"/>
        <v>0.34650000000000003</v>
      </c>
      <c r="N60" s="90">
        <f t="shared" si="27"/>
        <v>0.34650000000000003</v>
      </c>
      <c r="O60" s="90">
        <f t="shared" si="27"/>
        <v>0.34650000000000003</v>
      </c>
    </row>
    <row r="61" spans="1:15" x14ac:dyDescent="0.25">
      <c r="B61" s="5" t="s">
        <v>192</v>
      </c>
      <c r="C61" s="90">
        <f t="shared" ref="C61:O61" si="28">IF(C15=1,1,C15*1.05)</f>
        <v>1</v>
      </c>
      <c r="D61" s="90">
        <f t="shared" si="28"/>
        <v>1</v>
      </c>
      <c r="E61" s="90">
        <f t="shared" si="28"/>
        <v>0.88200000000000001</v>
      </c>
      <c r="F61" s="90">
        <f t="shared" si="28"/>
        <v>0.88200000000000001</v>
      </c>
      <c r="G61" s="90">
        <f t="shared" si="28"/>
        <v>1</v>
      </c>
      <c r="H61" s="90">
        <f t="shared" si="28"/>
        <v>1</v>
      </c>
      <c r="I61" s="90">
        <f t="shared" si="28"/>
        <v>1</v>
      </c>
      <c r="J61" s="90">
        <f t="shared" si="28"/>
        <v>1</v>
      </c>
      <c r="K61" s="90">
        <f t="shared" si="28"/>
        <v>1</v>
      </c>
      <c r="L61" s="90">
        <f t="shared" si="28"/>
        <v>1</v>
      </c>
      <c r="M61" s="90">
        <f t="shared" si="28"/>
        <v>1</v>
      </c>
      <c r="N61" s="90">
        <f t="shared" si="28"/>
        <v>1</v>
      </c>
      <c r="O61" s="90">
        <f t="shared" si="28"/>
        <v>1</v>
      </c>
    </row>
    <row r="63" spans="1:15" ht="13" customHeight="1" x14ac:dyDescent="0.3">
      <c r="A63" s="4" t="s">
        <v>327</v>
      </c>
      <c r="B63" s="11"/>
    </row>
    <row r="64" spans="1:15" x14ac:dyDescent="0.25">
      <c r="B64" s="5" t="s">
        <v>172</v>
      </c>
      <c r="C64" s="90">
        <f t="shared" ref="C64:O64" si="29">IF(C18=1,1,C18*1.05)</f>
        <v>1</v>
      </c>
      <c r="D64" s="90">
        <f t="shared" si="29"/>
        <v>1</v>
      </c>
      <c r="E64" s="90">
        <f t="shared" si="29"/>
        <v>1</v>
      </c>
      <c r="F64" s="90">
        <f t="shared" si="29"/>
        <v>1</v>
      </c>
      <c r="G64" s="90">
        <f t="shared" si="29"/>
        <v>1</v>
      </c>
      <c r="H64" s="90">
        <f t="shared" si="29"/>
        <v>1</v>
      </c>
      <c r="I64" s="90">
        <f t="shared" si="29"/>
        <v>1</v>
      </c>
      <c r="J64" s="90">
        <f t="shared" si="29"/>
        <v>1</v>
      </c>
      <c r="K64" s="90">
        <f t="shared" si="29"/>
        <v>1</v>
      </c>
      <c r="L64" s="90">
        <f t="shared" si="29"/>
        <v>1</v>
      </c>
      <c r="M64" s="90">
        <f t="shared" si="29"/>
        <v>1</v>
      </c>
      <c r="N64" s="90">
        <f t="shared" si="29"/>
        <v>1</v>
      </c>
      <c r="O64" s="90">
        <f t="shared" si="29"/>
        <v>1</v>
      </c>
    </row>
    <row r="65" spans="2:15" x14ac:dyDescent="0.25">
      <c r="B65" s="5" t="s">
        <v>173</v>
      </c>
      <c r="C65" s="90">
        <f t="shared" ref="C65:D67" si="30">IF(C19=1,1,C19*1.05)</f>
        <v>1</v>
      </c>
      <c r="D65" s="90">
        <f t="shared" si="30"/>
        <v>1</v>
      </c>
      <c r="E65" s="90">
        <f>IF(ISBLANK('Nutritional status distribution'!E$14),0.97,(0.97*'Nutritional status distribution'!E$14/(1-0.97*'Nutritional status distribution'!E$14))
/ ('Nutritional status distribution'!E$14/(1-'Nutritional status distribution'!E$14)))</f>
        <v>0.92931906428719502</v>
      </c>
      <c r="F65" s="90">
        <f>IF(ISBLANK('Nutritional status distribution'!F$14),0.97,(0.97*'Nutritional status distribution'!F$14/(1-0.97*'Nutritional status distribution'!F$14))
/ ('Nutritional status distribution'!F$14/(1-'Nutritional status distribution'!F$14)))</f>
        <v>0.95827607642884738</v>
      </c>
      <c r="G65" s="90">
        <f>IF(ISBLANK('Nutritional status distribution'!G$14),0.97,(0.97*'Nutritional status distribution'!G$14/(1-0.97*'Nutritional status distribution'!G$14))
/ ('Nutritional status distribution'!G$14/(1-'Nutritional status distribution'!G$14)))</f>
        <v>0.95827607642884738</v>
      </c>
      <c r="H65" s="90">
        <f>IF(ISBLANK('Nutritional status distribution'!H$14),0.97,(0.97*'Nutritional status distribution'!H$14/(1-0.97*'Nutritional status distribution'!H$14))
/ ('Nutritional status distribution'!H$14/(1-'Nutritional status distribution'!H$14)))</f>
        <v>0.95090257434168524</v>
      </c>
      <c r="I65" s="90">
        <f>IF(ISBLANK('Nutritional status distribution'!I$14),0.97,(0.97*'Nutritional status distribution'!I$14/(1-0.97*'Nutritional status distribution'!I$14))
/ ('Nutritional status distribution'!I$14/(1-'Nutritional status distribution'!I$14)))</f>
        <v>0.95090257434168524</v>
      </c>
      <c r="J65" s="90">
        <f>IF(ISBLANK('Nutritional status distribution'!J$14),0.97,(0.97*'Nutritional status distribution'!J$14/(1-0.97*'Nutritional status distribution'!J$14))
/ ('Nutritional status distribution'!J$14/(1-'Nutritional status distribution'!J$14)))</f>
        <v>0.95090257434168524</v>
      </c>
      <c r="K65" s="90">
        <f>IF(ISBLANK('Nutritional status distribution'!K$14),0.97,(0.97*'Nutritional status distribution'!K$14/(1-0.97*'Nutritional status distribution'!K$14))
/ ('Nutritional status distribution'!K$14/(1-'Nutritional status distribution'!K$14)))</f>
        <v>0.95090257434168524</v>
      </c>
      <c r="L65" s="90">
        <f>IF(ISBLANK('Nutritional status distribution'!L$14),0.97,(0.97*'Nutritional status distribution'!L$14/(1-0.97*'Nutritional status distribution'!L$14))
/ ('Nutritional status distribution'!L$14/(1-'Nutritional status distribution'!L$14)))</f>
        <v>0.95219275879653231</v>
      </c>
      <c r="M65" s="90">
        <f>IF(ISBLANK('Nutritional status distribution'!M$14),0.97,(0.97*'Nutritional status distribution'!M$14/(1-0.97*'Nutritional status distribution'!M$14))
/ ('Nutritional status distribution'!M$14/(1-'Nutritional status distribution'!M$14)))</f>
        <v>0.95219275879653231</v>
      </c>
      <c r="N65" s="90">
        <f>IF(ISBLANK('Nutritional status distribution'!N$14),0.97,(0.97*'Nutritional status distribution'!N$14/(1-0.97*'Nutritional status distribution'!N$14))
/ ('Nutritional status distribution'!N$14/(1-'Nutritional status distribution'!N$14)))</f>
        <v>0.95219275879653231</v>
      </c>
      <c r="O65" s="90">
        <f>IF(ISBLANK('Nutritional status distribution'!O$14),0.97,(0.97*'Nutritional status distribution'!O$14/(1-0.97*'Nutritional status distribution'!O$14))
/ ('Nutritional status distribution'!O$14/(1-'Nutritional status distribution'!O$14)))</f>
        <v>0.95219275879653231</v>
      </c>
    </row>
    <row r="66" spans="2:15" x14ac:dyDescent="0.25">
      <c r="B66" s="5" t="s">
        <v>174</v>
      </c>
      <c r="C66" s="90">
        <f t="shared" si="30"/>
        <v>1</v>
      </c>
      <c r="D66" s="90">
        <f t="shared" si="30"/>
        <v>1</v>
      </c>
      <c r="E66" s="90">
        <f t="shared" ref="E66:O66" si="31">IF(E20=1,1,E20*1.05)</f>
        <v>1</v>
      </c>
      <c r="F66" s="90">
        <f t="shared" si="31"/>
        <v>1</v>
      </c>
      <c r="G66" s="90">
        <f t="shared" si="31"/>
        <v>1</v>
      </c>
      <c r="H66" s="90">
        <f t="shared" si="31"/>
        <v>1</v>
      </c>
      <c r="I66" s="90">
        <f t="shared" si="31"/>
        <v>1</v>
      </c>
      <c r="J66" s="90">
        <f t="shared" si="31"/>
        <v>1</v>
      </c>
      <c r="K66" s="90">
        <f t="shared" si="31"/>
        <v>1</v>
      </c>
      <c r="L66" s="90">
        <f t="shared" si="31"/>
        <v>1</v>
      </c>
      <c r="M66" s="90">
        <f t="shared" si="31"/>
        <v>1</v>
      </c>
      <c r="N66" s="90">
        <f t="shared" si="31"/>
        <v>1</v>
      </c>
      <c r="O66" s="90">
        <f t="shared" si="31"/>
        <v>1</v>
      </c>
    </row>
    <row r="67" spans="2:15" x14ac:dyDescent="0.25">
      <c r="B67" s="5" t="s">
        <v>182</v>
      </c>
      <c r="C67" s="90">
        <f t="shared" si="30"/>
        <v>1</v>
      </c>
      <c r="D67" s="90">
        <f t="shared" si="30"/>
        <v>1</v>
      </c>
      <c r="E67" s="90">
        <f>IF(ISBLANK('Nutritional status distribution'!E$14),0.92,(0.92*'Nutritional status distribution'!E$14/(1-0.92*'Nutritional status distribution'!E$14))
/ ('Nutritional status distribution'!E$14/(1-'Nutritional status distribution'!E$14)))</f>
        <v>0.82383142644201979</v>
      </c>
      <c r="F67" s="90">
        <f>IF(ISBLANK('Nutritional status distribution'!F$14),0.92,(0.92*'Nutritional status distribution'!F$14/(1-0.92*'Nutritional status distribution'!F$14))
/ ('Nutritional status distribution'!F$14/(1-'Nutritional status distribution'!F$14)))</f>
        <v>0.89093326576275633</v>
      </c>
      <c r="G67" s="90">
        <f>IF(ISBLANK('Nutritional status distribution'!G$14),0.92,(0.92*'Nutritional status distribution'!G$14/(1-0.92*'Nutritional status distribution'!G$14))
/ ('Nutritional status distribution'!G$14/(1-'Nutritional status distribution'!G$14)))</f>
        <v>0.89093326576275633</v>
      </c>
      <c r="H67" s="90">
        <f>IF(ISBLANK('Nutritional status distribution'!H$14),0.92,(0.92*'Nutritional status distribution'!H$14/(1-0.92*'Nutritional status distribution'!H$14))
/ ('Nutritional status distribution'!H$14/(1-'Nutritional status distribution'!H$14)))</f>
        <v>0.87323318755149892</v>
      </c>
      <c r="I67" s="90">
        <f>IF(ISBLANK('Nutritional status distribution'!I$14),0.92,(0.92*'Nutritional status distribution'!I$14/(1-0.92*'Nutritional status distribution'!I$14))
/ ('Nutritional status distribution'!I$14/(1-'Nutritional status distribution'!I$14)))</f>
        <v>0.87323318755149892</v>
      </c>
      <c r="J67" s="90">
        <f>IF(ISBLANK('Nutritional status distribution'!J$14),0.92,(0.92*'Nutritional status distribution'!J$14/(1-0.92*'Nutritional status distribution'!J$14))
/ ('Nutritional status distribution'!J$14/(1-'Nutritional status distribution'!J$14)))</f>
        <v>0.87323318755149892</v>
      </c>
      <c r="K67" s="90">
        <f>IF(ISBLANK('Nutritional status distribution'!K$14),0.92,(0.92*'Nutritional status distribution'!K$14/(1-0.92*'Nutritional status distribution'!K$14))
/ ('Nutritional status distribution'!K$14/(1-'Nutritional status distribution'!K$14)))</f>
        <v>0.87323318755149892</v>
      </c>
      <c r="L67" s="90">
        <f>IF(ISBLANK('Nutritional status distribution'!L$14),0.92,(0.92*'Nutritional status distribution'!L$14/(1-0.92*'Nutritional status distribution'!L$14))
/ ('Nutritional status distribution'!L$14/(1-'Nutritional status distribution'!L$14)))</f>
        <v>0.87629886194952999</v>
      </c>
      <c r="M67" s="90">
        <f>IF(ISBLANK('Nutritional status distribution'!M$14),0.92,(0.92*'Nutritional status distribution'!M$14/(1-0.92*'Nutritional status distribution'!M$14))
/ ('Nutritional status distribution'!M$14/(1-'Nutritional status distribution'!M$14)))</f>
        <v>0.87629886194952999</v>
      </c>
      <c r="N67" s="90">
        <f>IF(ISBLANK('Nutritional status distribution'!N$14),0.92,(0.92*'Nutritional status distribution'!N$14/(1-0.92*'Nutritional status distribution'!N$14))
/ ('Nutritional status distribution'!N$14/(1-'Nutritional status distribution'!N$14)))</f>
        <v>0.87629886194952999</v>
      </c>
      <c r="O67" s="90">
        <f>IF(ISBLANK('Nutritional status distribution'!O$14),0.92,(0.92*'Nutritional status distribution'!O$14/(1-0.92*'Nutritional status distribution'!O$14))
/ ('Nutritional status distribution'!O$14/(1-'Nutritional status distribution'!O$14)))</f>
        <v>0.87629886194952999</v>
      </c>
    </row>
  </sheetData>
  <sheetProtection algorithmName="SHA-512" hashValue="5E4/fU0YrOkGG2Hv0Mhd9VJh6iiQ1qcGQEazL7y5naC8dh8VOCyLDhqF1Lc1e0ZxJ4qiXkt0dlS0YLJ5ewJqug==" saltValue="CPKT7vn/WqRwVrSBV8Eaaw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D12" sqref="D12"/>
    </sheetView>
  </sheetViews>
  <sheetFormatPr defaultColWidth="12.81640625" defaultRowHeight="12.5" x14ac:dyDescent="0.25"/>
  <cols>
    <col min="1" max="1" width="21.36328125" style="8" customWidth="1"/>
    <col min="2" max="2" width="27.81640625" style="8" customWidth="1"/>
    <col min="3" max="7" width="15.54296875" style="8" customWidth="1"/>
    <col min="8" max="8" width="12.81640625" style="8" customWidth="1"/>
    <col min="9" max="16384" width="12.81640625" style="8"/>
  </cols>
  <sheetData>
    <row r="1" spans="1:7" ht="13" customHeight="1" x14ac:dyDescent="0.3">
      <c r="A1" s="4"/>
      <c r="B1" s="1"/>
      <c r="C1" s="4" t="s">
        <v>67</v>
      </c>
      <c r="D1" s="4" t="s">
        <v>77</v>
      </c>
      <c r="E1" s="4" t="s">
        <v>78</v>
      </c>
      <c r="F1" s="4" t="s">
        <v>79</v>
      </c>
      <c r="G1" s="4" t="s">
        <v>80</v>
      </c>
    </row>
    <row r="2" spans="1:7" ht="13" customHeight="1" x14ac:dyDescent="0.3">
      <c r="A2" s="4" t="s">
        <v>328</v>
      </c>
    </row>
    <row r="3" spans="1:7" x14ac:dyDescent="0.25">
      <c r="B3" s="11" t="s">
        <v>157</v>
      </c>
      <c r="C3" s="90">
        <v>1</v>
      </c>
      <c r="D3" s="90">
        <f>IF(ISBLANK('Nutritional status distribution'!D$11),0.86,(0.86*'Nutritional status distribution'!D$11/(1-0.86*'Nutritional status distribution'!D$11))
/ ('Nutritional status distribution'!D$11/(1-'Nutritional status distribution'!D$11)))</f>
        <v>0.8535380181364145</v>
      </c>
      <c r="E3" s="90">
        <f>IF(ISBLANK('Nutritional status distribution'!E$11),0.86,(0.86*'Nutritional status distribution'!E$11/(1-0.86*'Nutritional status distribution'!E$11))
/ ('Nutritional status distribution'!E$11/(1-'Nutritional status distribution'!E$11)))</f>
        <v>0.85650843973910928</v>
      </c>
      <c r="F3" s="90">
        <f>IF(ISBLANK('Nutritional status distribution'!F$11),0.86,(0.86*'Nutritional status distribution'!F$11/(1-0.86*'Nutritional status distribution'!F$11))
/ ('Nutritional status distribution'!F$11/(1-'Nutritional status distribution'!F$11)))</f>
        <v>0.85718484171928533</v>
      </c>
      <c r="G3" s="90">
        <f>IF(ISBLANK('Nutritional status distribution'!G$11),0.86,(0.86*'Nutritional status distribution'!G$11/(1-0.86*'Nutritional status distribution'!G$11))
/ ('Nutritional status distribution'!G$11/(1-'Nutritional status distribution'!G$11)))</f>
        <v>0.85834446150746513</v>
      </c>
    </row>
    <row r="4" spans="1:7" ht="13" customHeight="1" x14ac:dyDescent="0.3">
      <c r="A4" s="4" t="s">
        <v>329</v>
      </c>
      <c r="B4" s="11"/>
      <c r="C4" s="83"/>
      <c r="D4" s="83"/>
      <c r="E4" s="83"/>
      <c r="F4" s="83"/>
      <c r="G4" s="83"/>
    </row>
    <row r="5" spans="1:7" x14ac:dyDescent="0.25">
      <c r="B5" s="5" t="s">
        <v>158</v>
      </c>
      <c r="C5" s="90">
        <v>1</v>
      </c>
      <c r="D5" s="90">
        <f>IF(ISBLANK('Nutritional status distribution'!D$10),0.86,(0.86*'Nutritional status distribution'!D$10/(1-0.86*'Nutritional status distribution'!D$10))
/ ('Nutritional status distribution'!D$10/(1-'Nutritional status distribution'!D$10)))</f>
        <v>0.84286172970512885</v>
      </c>
      <c r="E5" s="90">
        <f>IF(ISBLANK('Nutritional status distribution'!E$10),0.86,(0.86*'Nutritional status distribution'!E$10/(1-0.86*'Nutritional status distribution'!E$10))
/ ('Nutritional status distribution'!E$10/(1-'Nutritional status distribution'!E$10)))</f>
        <v>0.84376268911262342</v>
      </c>
      <c r="F5" s="90">
        <f>IF(ISBLANK('Nutritional status distribution'!F$10),0.86,(0.86*'Nutritional status distribution'!F$10/(1-0.86*'Nutritional status distribution'!F$10))
/ ('Nutritional status distribution'!F$10/(1-'Nutritional status distribution'!F$10)))</f>
        <v>0.85597769731286322</v>
      </c>
      <c r="G5" s="90">
        <f>IF(ISBLANK('Nutritional status distribution'!G$10),0.86,(0.86*'Nutritional status distribution'!G$10/(1-0.86*'Nutritional status distribution'!G$10))
/ ('Nutritional status distribution'!G$10/(1-'Nutritional status distribution'!G$10)))</f>
        <v>0.85712916214628565</v>
      </c>
    </row>
    <row r="7" spans="1:7" s="92" customFormat="1" ht="13" customHeight="1" x14ac:dyDescent="0.3">
      <c r="A7" s="92" t="s">
        <v>330</v>
      </c>
    </row>
    <row r="8" spans="1:7" ht="13" customHeight="1" x14ac:dyDescent="0.3">
      <c r="A8" s="4"/>
      <c r="B8" s="1"/>
      <c r="C8" s="4" t="s">
        <v>67</v>
      </c>
      <c r="D8" s="4" t="s">
        <v>77</v>
      </c>
      <c r="E8" s="4" t="s">
        <v>78</v>
      </c>
      <c r="F8" s="4" t="s">
        <v>79</v>
      </c>
      <c r="G8" s="4" t="s">
        <v>80</v>
      </c>
    </row>
    <row r="9" spans="1:7" ht="13" customHeight="1" x14ac:dyDescent="0.3">
      <c r="A9" s="4" t="s">
        <v>331</v>
      </c>
    </row>
    <row r="10" spans="1:7" x14ac:dyDescent="0.25">
      <c r="B10" s="11" t="s">
        <v>157</v>
      </c>
      <c r="C10" s="90">
        <f>C3*0.9</f>
        <v>0.9</v>
      </c>
      <c r="D10" s="90">
        <f>D3*0.9</f>
        <v>0.76818421632277312</v>
      </c>
      <c r="E10" s="90">
        <f>E3*0.9</f>
        <v>0.77085759576519841</v>
      </c>
      <c r="F10" s="90">
        <f>F3*0.9</f>
        <v>0.77146635754735682</v>
      </c>
      <c r="G10" s="90">
        <f>G3*0.9</f>
        <v>0.77251001535671859</v>
      </c>
    </row>
    <row r="11" spans="1:7" ht="13" customHeight="1" x14ac:dyDescent="0.3">
      <c r="A11" s="4" t="s">
        <v>332</v>
      </c>
      <c r="B11" s="11"/>
      <c r="C11" s="83"/>
      <c r="D11" s="83"/>
      <c r="E11" s="83"/>
      <c r="F11" s="83"/>
      <c r="G11" s="83"/>
    </row>
    <row r="12" spans="1:7" x14ac:dyDescent="0.25">
      <c r="B12" s="5" t="s">
        <v>158</v>
      </c>
      <c r="C12" s="90">
        <f>C5*0.9</f>
        <v>0.9</v>
      </c>
      <c r="D12" s="90">
        <f>D5*0.9</f>
        <v>0.75857555673461596</v>
      </c>
      <c r="E12" s="90">
        <f>E5*0.9</f>
        <v>0.75938642020136105</v>
      </c>
      <c r="F12" s="90">
        <f>F5*0.9</f>
        <v>0.77037992758157692</v>
      </c>
      <c r="G12" s="90">
        <f>G5*0.9</f>
        <v>0.77141624593165714</v>
      </c>
    </row>
    <row r="14" spans="1:7" s="92" customFormat="1" ht="13" customHeight="1" x14ac:dyDescent="0.3">
      <c r="A14" s="92" t="s">
        <v>333</v>
      </c>
    </row>
    <row r="15" spans="1:7" ht="13" customHeight="1" x14ac:dyDescent="0.3">
      <c r="A15" s="4"/>
      <c r="B15" s="1"/>
      <c r="C15" s="4" t="s">
        <v>67</v>
      </c>
      <c r="D15" s="4" t="s">
        <v>77</v>
      </c>
      <c r="E15" s="4" t="s">
        <v>78</v>
      </c>
      <c r="F15" s="4" t="s">
        <v>79</v>
      </c>
      <c r="G15" s="4" t="s">
        <v>80</v>
      </c>
    </row>
    <row r="16" spans="1:7" ht="13" customHeight="1" x14ac:dyDescent="0.3">
      <c r="A16" s="4" t="s">
        <v>334</v>
      </c>
    </row>
    <row r="17" spans="1:7" x14ac:dyDescent="0.25">
      <c r="B17" s="11" t="s">
        <v>157</v>
      </c>
      <c r="C17" s="90">
        <f>C3*1.05</f>
        <v>1.05</v>
      </c>
      <c r="D17" s="90">
        <f>D3*1.05</f>
        <v>0.89621491904323525</v>
      </c>
      <c r="E17" s="90">
        <f>E3*1.05</f>
        <v>0.89933386172606478</v>
      </c>
      <c r="F17" s="90">
        <f>F3*1.05</f>
        <v>0.90004408380524958</v>
      </c>
      <c r="G17" s="90">
        <f>G3*1.05</f>
        <v>0.9012616845828384</v>
      </c>
    </row>
    <row r="18" spans="1:7" ht="13" customHeight="1" x14ac:dyDescent="0.3">
      <c r="A18" s="4" t="s">
        <v>335</v>
      </c>
      <c r="B18" s="11"/>
      <c r="C18" s="83"/>
      <c r="D18" s="83"/>
      <c r="E18" s="83"/>
      <c r="F18" s="83"/>
      <c r="G18" s="83"/>
    </row>
    <row r="19" spans="1:7" x14ac:dyDescent="0.25">
      <c r="B19" s="5" t="s">
        <v>158</v>
      </c>
      <c r="C19" s="90">
        <f>C5*1.05</f>
        <v>1.05</v>
      </c>
      <c r="D19" s="90">
        <f>D5*1.05</f>
        <v>0.88500481619038529</v>
      </c>
      <c r="E19" s="90">
        <f>E5*1.05</f>
        <v>0.88595082356825461</v>
      </c>
      <c r="F19" s="90">
        <f>F5*1.05</f>
        <v>0.89877658217850642</v>
      </c>
      <c r="G19" s="90">
        <f>G5*1.05</f>
        <v>0.89998562025359996</v>
      </c>
    </row>
  </sheetData>
  <sheetProtection algorithmName="SHA-512" hashValue="rh3aeqCmwK5LUy0062FYC8oqZnuM6EQQeK3vU6vJfJhrVJmJHWUXBqY0Fi1KJOjJNWFBuavOyRQTLtB9HDSLfg==" saltValue="pLj7cI82/Uz0ghxOToNzMA==" spinCount="100000" sheet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31" zoomScale="70" zoomScaleNormal="70" workbookViewId="0">
      <selection activeCell="D12" sqref="D12"/>
    </sheetView>
  </sheetViews>
  <sheetFormatPr defaultColWidth="12.81640625" defaultRowHeight="12.5" x14ac:dyDescent="0.25"/>
  <cols>
    <col min="1" max="1" width="53" style="5" customWidth="1"/>
    <col min="2" max="2" width="30.54296875" style="5" customWidth="1"/>
    <col min="3" max="3" width="24.81640625" style="5" customWidth="1"/>
    <col min="4" max="4" width="15" style="8" customWidth="1"/>
    <col min="5" max="5" width="13.6328125" style="8" customWidth="1"/>
    <col min="6" max="6" width="14.453125" style="8" customWidth="1"/>
    <col min="7" max="7" width="12.81640625" style="8" customWidth="1"/>
    <col min="8" max="8" width="17.54296875" style="8" customWidth="1"/>
    <col min="9" max="9" width="12.81640625" style="8" customWidth="1"/>
    <col min="10" max="16384" width="12.81640625" style="8"/>
  </cols>
  <sheetData>
    <row r="1" spans="1:8" ht="13" customHeight="1" x14ac:dyDescent="0.3">
      <c r="A1" s="4" t="s">
        <v>156</v>
      </c>
      <c r="B1" s="4" t="s">
        <v>336</v>
      </c>
      <c r="C1" s="82" t="s">
        <v>337</v>
      </c>
      <c r="D1" s="4" t="s">
        <v>67</v>
      </c>
      <c r="E1" s="4" t="s">
        <v>77</v>
      </c>
      <c r="F1" s="4" t="s">
        <v>78</v>
      </c>
      <c r="G1" s="4" t="s">
        <v>79</v>
      </c>
      <c r="H1" s="4" t="s">
        <v>80</v>
      </c>
    </row>
    <row r="2" spans="1:8" x14ac:dyDescent="0.25">
      <c r="A2" s="5" t="s">
        <v>193</v>
      </c>
      <c r="B2" s="5" t="s">
        <v>81</v>
      </c>
      <c r="C2" s="5" t="s">
        <v>338</v>
      </c>
      <c r="D2" s="90">
        <v>0</v>
      </c>
      <c r="E2" s="90">
        <v>0</v>
      </c>
      <c r="F2" s="90">
        <v>1</v>
      </c>
      <c r="G2" s="90">
        <v>1</v>
      </c>
      <c r="H2" s="90">
        <v>1</v>
      </c>
    </row>
    <row r="3" spans="1:8" x14ac:dyDescent="0.25">
      <c r="C3" s="5" t="s">
        <v>339</v>
      </c>
      <c r="D3" s="90">
        <v>0</v>
      </c>
      <c r="E3" s="90">
        <v>0</v>
      </c>
      <c r="F3" s="90">
        <v>0.88</v>
      </c>
      <c r="G3" s="90">
        <v>0.88</v>
      </c>
      <c r="H3" s="90">
        <v>0.88</v>
      </c>
    </row>
    <row r="4" spans="1:8" x14ac:dyDescent="0.25">
      <c r="C4" s="5" t="s">
        <v>340</v>
      </c>
      <c r="D4" s="90">
        <v>0</v>
      </c>
      <c r="E4" s="90">
        <v>0</v>
      </c>
      <c r="F4" s="90">
        <v>0.85</v>
      </c>
      <c r="G4" s="90">
        <v>0.85</v>
      </c>
      <c r="H4" s="90">
        <v>0.85</v>
      </c>
    </row>
    <row r="5" spans="1:8" x14ac:dyDescent="0.25">
      <c r="A5" s="5" t="s">
        <v>191</v>
      </c>
      <c r="B5" s="5" t="s">
        <v>205</v>
      </c>
      <c r="C5" s="5" t="s">
        <v>338</v>
      </c>
      <c r="D5" s="90">
        <v>0</v>
      </c>
      <c r="E5" s="90">
        <v>0</v>
      </c>
      <c r="F5" s="90">
        <v>1</v>
      </c>
      <c r="G5" s="90">
        <v>1</v>
      </c>
      <c r="H5" s="90">
        <v>0</v>
      </c>
    </row>
    <row r="6" spans="1:8" x14ac:dyDescent="0.25">
      <c r="C6" s="5" t="s">
        <v>340</v>
      </c>
      <c r="D6" s="90">
        <v>0</v>
      </c>
      <c r="E6" s="90">
        <v>0</v>
      </c>
      <c r="F6" s="90">
        <v>0</v>
      </c>
      <c r="G6" s="90">
        <v>0</v>
      </c>
      <c r="H6" s="90">
        <v>0</v>
      </c>
    </row>
    <row r="7" spans="1:8" x14ac:dyDescent="0.25">
      <c r="B7" s="5" t="s">
        <v>204</v>
      </c>
      <c r="C7" s="5" t="s">
        <v>338</v>
      </c>
      <c r="D7" s="90">
        <v>0</v>
      </c>
      <c r="E7" s="90">
        <v>0</v>
      </c>
      <c r="F7" s="90">
        <v>1</v>
      </c>
      <c r="G7" s="90">
        <v>1</v>
      </c>
      <c r="H7" s="90">
        <v>0</v>
      </c>
    </row>
    <row r="8" spans="1:8" x14ac:dyDescent="0.25">
      <c r="C8" s="5" t="s">
        <v>340</v>
      </c>
      <c r="D8" s="90">
        <v>0</v>
      </c>
      <c r="E8" s="90">
        <v>0</v>
      </c>
      <c r="F8" s="90">
        <v>0</v>
      </c>
      <c r="G8" s="90">
        <v>0</v>
      </c>
      <c r="H8" s="90">
        <v>0</v>
      </c>
    </row>
    <row r="9" spans="1:8" x14ac:dyDescent="0.25">
      <c r="A9" s="5" t="s">
        <v>184</v>
      </c>
      <c r="B9" s="5" t="s">
        <v>205</v>
      </c>
      <c r="C9" s="5" t="s">
        <v>338</v>
      </c>
      <c r="D9" s="90">
        <v>0</v>
      </c>
      <c r="E9" s="90">
        <v>0</v>
      </c>
      <c r="F9" s="90">
        <v>1</v>
      </c>
      <c r="G9" s="90">
        <v>1</v>
      </c>
      <c r="H9" s="90">
        <v>0</v>
      </c>
    </row>
    <row r="10" spans="1:8" x14ac:dyDescent="0.25">
      <c r="C10" s="5" t="s">
        <v>340</v>
      </c>
      <c r="D10" s="90">
        <v>0</v>
      </c>
      <c r="E10" s="90">
        <v>0</v>
      </c>
      <c r="F10" s="90">
        <v>0</v>
      </c>
      <c r="G10" s="90">
        <v>0</v>
      </c>
      <c r="H10" s="90">
        <v>0</v>
      </c>
    </row>
    <row r="11" spans="1:8" x14ac:dyDescent="0.25">
      <c r="B11" s="5" t="s">
        <v>204</v>
      </c>
      <c r="C11" s="5" t="s">
        <v>338</v>
      </c>
      <c r="D11" s="90">
        <v>0</v>
      </c>
      <c r="E11" s="90">
        <v>0</v>
      </c>
      <c r="F11" s="90">
        <v>1</v>
      </c>
      <c r="G11" s="90">
        <v>1</v>
      </c>
      <c r="H11" s="90">
        <v>0</v>
      </c>
    </row>
    <row r="12" spans="1:8" x14ac:dyDescent="0.25">
      <c r="C12" s="5" t="s">
        <v>340</v>
      </c>
      <c r="D12" s="90">
        <v>0</v>
      </c>
      <c r="E12" s="90">
        <v>0</v>
      </c>
      <c r="F12" s="90">
        <v>0</v>
      </c>
      <c r="G12" s="90">
        <v>0</v>
      </c>
      <c r="H12" s="90">
        <v>0</v>
      </c>
    </row>
    <row r="13" spans="1:8" x14ac:dyDescent="0.25">
      <c r="A13" s="5" t="s">
        <v>192</v>
      </c>
      <c r="B13" s="5" t="s">
        <v>205</v>
      </c>
      <c r="C13" s="5" t="s">
        <v>338</v>
      </c>
      <c r="D13" s="90">
        <v>0</v>
      </c>
      <c r="E13" s="90">
        <v>0</v>
      </c>
      <c r="F13" s="90">
        <v>1</v>
      </c>
      <c r="G13" s="90">
        <v>1</v>
      </c>
      <c r="H13" s="90">
        <v>0</v>
      </c>
    </row>
    <row r="14" spans="1:8" x14ac:dyDescent="0.25">
      <c r="C14" s="5" t="s">
        <v>340</v>
      </c>
      <c r="D14" s="90">
        <v>0</v>
      </c>
      <c r="E14" s="90">
        <v>0</v>
      </c>
      <c r="F14" s="90">
        <v>0.69</v>
      </c>
      <c r="G14" s="90">
        <v>0.69</v>
      </c>
      <c r="H14" s="90">
        <v>0</v>
      </c>
    </row>
    <row r="15" spans="1:8" x14ac:dyDescent="0.25">
      <c r="B15" s="5" t="s">
        <v>204</v>
      </c>
      <c r="C15" s="5" t="s">
        <v>338</v>
      </c>
      <c r="D15" s="90">
        <v>0</v>
      </c>
      <c r="E15" s="90">
        <v>0</v>
      </c>
      <c r="F15" s="90">
        <v>1</v>
      </c>
      <c r="G15" s="90">
        <v>1</v>
      </c>
      <c r="H15" s="90">
        <v>0</v>
      </c>
    </row>
    <row r="16" spans="1:8" x14ac:dyDescent="0.25">
      <c r="C16" s="5" t="s">
        <v>340</v>
      </c>
      <c r="D16" s="90">
        <v>0</v>
      </c>
      <c r="E16" s="90">
        <v>0</v>
      </c>
      <c r="F16" s="90">
        <v>0.86</v>
      </c>
      <c r="G16" s="90">
        <v>0.86</v>
      </c>
      <c r="H16" s="90">
        <v>0</v>
      </c>
    </row>
    <row r="17" spans="1:8" x14ac:dyDescent="0.25">
      <c r="A17" s="5" t="s">
        <v>169</v>
      </c>
      <c r="B17" s="5" t="s">
        <v>205</v>
      </c>
      <c r="C17" s="5" t="s">
        <v>338</v>
      </c>
      <c r="D17" s="90">
        <v>0</v>
      </c>
      <c r="E17" s="90">
        <v>0</v>
      </c>
      <c r="F17" s="90">
        <v>1</v>
      </c>
      <c r="G17" s="90">
        <v>1</v>
      </c>
      <c r="H17" s="90">
        <v>1</v>
      </c>
    </row>
    <row r="18" spans="1:8" x14ac:dyDescent="0.25">
      <c r="C18" s="5" t="s">
        <v>340</v>
      </c>
      <c r="D18" s="90">
        <v>0</v>
      </c>
      <c r="E18" s="90">
        <v>0</v>
      </c>
      <c r="F18" s="90">
        <v>0.32</v>
      </c>
      <c r="G18" s="90">
        <v>0.32</v>
      </c>
      <c r="H18" s="90">
        <v>0.32</v>
      </c>
    </row>
    <row r="19" spans="1:8" x14ac:dyDescent="0.25">
      <c r="B19" s="5" t="s">
        <v>204</v>
      </c>
      <c r="C19" s="5" t="s">
        <v>338</v>
      </c>
      <c r="D19" s="90">
        <v>0</v>
      </c>
      <c r="E19" s="90">
        <v>0</v>
      </c>
      <c r="F19" s="90">
        <v>1</v>
      </c>
      <c r="G19" s="90">
        <v>1</v>
      </c>
      <c r="H19" s="90">
        <v>1</v>
      </c>
    </row>
    <row r="20" spans="1:8" x14ac:dyDescent="0.25">
      <c r="C20" s="5" t="s">
        <v>340</v>
      </c>
      <c r="D20" s="90">
        <v>0</v>
      </c>
      <c r="E20" s="90">
        <v>0</v>
      </c>
      <c r="F20" s="90">
        <v>0.4</v>
      </c>
      <c r="G20" s="90">
        <v>0.4</v>
      </c>
      <c r="H20" s="90">
        <v>0.4</v>
      </c>
    </row>
    <row r="21" spans="1:8" x14ac:dyDescent="0.25">
      <c r="A21" s="5" t="s">
        <v>174</v>
      </c>
      <c r="B21" s="5" t="s">
        <v>74</v>
      </c>
      <c r="C21" s="5" t="s">
        <v>338</v>
      </c>
      <c r="D21" s="90">
        <v>1</v>
      </c>
      <c r="E21" s="90">
        <v>0</v>
      </c>
      <c r="F21" s="90">
        <v>0</v>
      </c>
      <c r="G21" s="90">
        <v>0</v>
      </c>
      <c r="H21" s="90">
        <v>0</v>
      </c>
    </row>
    <row r="22" spans="1:8" x14ac:dyDescent="0.25">
      <c r="C22" s="5" t="s">
        <v>339</v>
      </c>
      <c r="D22" s="90">
        <v>0.13</v>
      </c>
      <c r="E22" s="90">
        <v>0</v>
      </c>
      <c r="F22" s="90">
        <v>0</v>
      </c>
      <c r="G22" s="90">
        <v>0</v>
      </c>
      <c r="H22" s="90">
        <v>0</v>
      </c>
    </row>
    <row r="23" spans="1:8" x14ac:dyDescent="0.25">
      <c r="A23" s="5" t="s">
        <v>172</v>
      </c>
      <c r="B23" s="5" t="s">
        <v>74</v>
      </c>
      <c r="C23" s="5" t="s">
        <v>338</v>
      </c>
      <c r="D23" s="90">
        <v>1</v>
      </c>
      <c r="E23" s="90">
        <v>0</v>
      </c>
      <c r="F23" s="90">
        <v>0</v>
      </c>
      <c r="G23" s="90">
        <v>0</v>
      </c>
      <c r="H23" s="90">
        <v>0</v>
      </c>
    </row>
    <row r="24" spans="1:8" x14ac:dyDescent="0.25">
      <c r="C24" s="5" t="s">
        <v>339</v>
      </c>
      <c r="D24" s="90">
        <v>0.13</v>
      </c>
      <c r="E24" s="90">
        <v>0</v>
      </c>
      <c r="F24" s="90">
        <v>0</v>
      </c>
      <c r="G24" s="90">
        <v>0</v>
      </c>
      <c r="H24" s="90">
        <v>0</v>
      </c>
    </row>
    <row r="25" spans="1:8" x14ac:dyDescent="0.25">
      <c r="A25" s="5" t="s">
        <v>173</v>
      </c>
      <c r="B25" s="5" t="s">
        <v>74</v>
      </c>
      <c r="C25" s="5" t="s">
        <v>338</v>
      </c>
      <c r="D25" s="90">
        <v>1</v>
      </c>
      <c r="E25" s="90">
        <v>0</v>
      </c>
      <c r="F25" s="90">
        <v>0</v>
      </c>
      <c r="G25" s="90">
        <v>0</v>
      </c>
      <c r="H25" s="90">
        <v>0</v>
      </c>
    </row>
    <row r="26" spans="1:8" x14ac:dyDescent="0.25">
      <c r="C26" s="5" t="s">
        <v>339</v>
      </c>
      <c r="D26" s="90">
        <v>0.13</v>
      </c>
      <c r="E26" s="90">
        <v>0</v>
      </c>
      <c r="F26" s="90">
        <v>0</v>
      </c>
      <c r="G26" s="90">
        <v>0</v>
      </c>
      <c r="H26" s="90">
        <v>0</v>
      </c>
    </row>
    <row r="27" spans="1:8" x14ac:dyDescent="0.25">
      <c r="A27" s="5" t="s">
        <v>197</v>
      </c>
      <c r="B27" s="5" t="s">
        <v>81</v>
      </c>
      <c r="C27" s="5" t="s">
        <v>338</v>
      </c>
      <c r="D27" s="90">
        <v>1</v>
      </c>
      <c r="E27" s="90">
        <v>1</v>
      </c>
      <c r="F27" s="90">
        <v>1</v>
      </c>
      <c r="G27" s="90">
        <v>1</v>
      </c>
      <c r="H27" s="90">
        <v>1</v>
      </c>
    </row>
    <row r="28" spans="1:8" x14ac:dyDescent="0.25">
      <c r="C28" s="5" t="s">
        <v>339</v>
      </c>
      <c r="D28" s="90">
        <v>0</v>
      </c>
      <c r="E28" s="90">
        <v>0</v>
      </c>
      <c r="F28" s="90">
        <v>0</v>
      </c>
      <c r="G28" s="90">
        <v>0</v>
      </c>
      <c r="H28" s="90">
        <v>0</v>
      </c>
    </row>
    <row r="29" spans="1:8" x14ac:dyDescent="0.25">
      <c r="C29" s="5" t="s">
        <v>340</v>
      </c>
      <c r="D29" s="90">
        <v>0</v>
      </c>
      <c r="E29" s="90">
        <v>0</v>
      </c>
      <c r="F29" s="90">
        <v>0</v>
      </c>
      <c r="G29" s="90">
        <v>0</v>
      </c>
      <c r="H29" s="90">
        <v>0</v>
      </c>
    </row>
    <row r="30" spans="1:8" x14ac:dyDescent="0.25">
      <c r="A30" s="5" t="s">
        <v>198</v>
      </c>
      <c r="B30" s="5" t="s">
        <v>81</v>
      </c>
      <c r="C30" s="5" t="s">
        <v>338</v>
      </c>
      <c r="D30" s="90">
        <v>1</v>
      </c>
      <c r="E30" s="90">
        <v>1</v>
      </c>
      <c r="F30" s="90">
        <v>1</v>
      </c>
      <c r="G30" s="90">
        <v>1</v>
      </c>
      <c r="H30" s="90">
        <v>1</v>
      </c>
    </row>
    <row r="31" spans="1:8" x14ac:dyDescent="0.25">
      <c r="C31" s="5" t="s">
        <v>339</v>
      </c>
      <c r="D31" s="90">
        <v>0</v>
      </c>
      <c r="E31" s="90">
        <v>0</v>
      </c>
      <c r="F31" s="90">
        <v>0</v>
      </c>
      <c r="G31" s="90">
        <v>0</v>
      </c>
      <c r="H31" s="90">
        <v>0</v>
      </c>
    </row>
    <row r="32" spans="1:8" x14ac:dyDescent="0.25">
      <c r="C32" s="5" t="s">
        <v>340</v>
      </c>
      <c r="D32" s="90">
        <v>0</v>
      </c>
      <c r="E32" s="90">
        <v>0</v>
      </c>
      <c r="F32" s="90">
        <v>0</v>
      </c>
      <c r="G32" s="90">
        <v>0</v>
      </c>
      <c r="H32" s="90">
        <v>0</v>
      </c>
    </row>
    <row r="33" spans="1:8" x14ac:dyDescent="0.25">
      <c r="A33" s="5" t="s">
        <v>196</v>
      </c>
      <c r="B33" s="5" t="s">
        <v>81</v>
      </c>
      <c r="C33" s="5" t="s">
        <v>338</v>
      </c>
      <c r="D33" s="90">
        <v>1</v>
      </c>
      <c r="E33" s="90">
        <v>1</v>
      </c>
      <c r="F33" s="90">
        <v>1</v>
      </c>
      <c r="G33" s="90">
        <v>1</v>
      </c>
      <c r="H33" s="90">
        <v>1</v>
      </c>
    </row>
    <row r="34" spans="1:8" x14ac:dyDescent="0.25">
      <c r="C34" s="5" t="s">
        <v>339</v>
      </c>
      <c r="D34" s="90">
        <v>0</v>
      </c>
      <c r="E34" s="90">
        <v>0</v>
      </c>
      <c r="F34" s="90">
        <v>0</v>
      </c>
      <c r="G34" s="90">
        <v>0</v>
      </c>
      <c r="H34" s="90">
        <v>0</v>
      </c>
    </row>
    <row r="35" spans="1:8" x14ac:dyDescent="0.25">
      <c r="C35" s="5" t="s">
        <v>340</v>
      </c>
      <c r="D35" s="90">
        <v>0</v>
      </c>
      <c r="E35" s="90">
        <v>0</v>
      </c>
      <c r="F35" s="90">
        <v>0</v>
      </c>
      <c r="G35" s="90">
        <v>0</v>
      </c>
      <c r="H35" s="90">
        <v>0</v>
      </c>
    </row>
    <row r="36" spans="1:8" x14ac:dyDescent="0.25">
      <c r="A36" s="5" t="s">
        <v>195</v>
      </c>
      <c r="B36" s="5" t="s">
        <v>81</v>
      </c>
      <c r="C36" s="5" t="s">
        <v>338</v>
      </c>
      <c r="D36" s="90">
        <v>1</v>
      </c>
      <c r="E36" s="90">
        <v>1</v>
      </c>
      <c r="F36" s="90">
        <v>1</v>
      </c>
      <c r="G36" s="90">
        <v>1</v>
      </c>
      <c r="H36" s="90">
        <v>1</v>
      </c>
    </row>
    <row r="37" spans="1:8" x14ac:dyDescent="0.25">
      <c r="C37" s="5" t="s">
        <v>339</v>
      </c>
      <c r="D37" s="90">
        <v>0</v>
      </c>
      <c r="E37" s="90">
        <v>0</v>
      </c>
      <c r="F37" s="90">
        <v>0</v>
      </c>
      <c r="G37" s="90">
        <v>0</v>
      </c>
      <c r="H37" s="90">
        <v>0</v>
      </c>
    </row>
    <row r="38" spans="1:8" x14ac:dyDescent="0.25">
      <c r="C38" s="5" t="s">
        <v>340</v>
      </c>
      <c r="D38" s="90">
        <v>0</v>
      </c>
      <c r="E38" s="90">
        <v>0</v>
      </c>
      <c r="F38" s="90">
        <v>0</v>
      </c>
      <c r="G38" s="90">
        <v>0</v>
      </c>
      <c r="H38" s="90">
        <v>0</v>
      </c>
    </row>
    <row r="39" spans="1:8" x14ac:dyDescent="0.25">
      <c r="A39" s="5" t="s">
        <v>194</v>
      </c>
      <c r="B39" s="5" t="s">
        <v>81</v>
      </c>
      <c r="C39" s="5" t="s">
        <v>338</v>
      </c>
      <c r="D39" s="90">
        <v>1</v>
      </c>
      <c r="E39" s="90">
        <v>1</v>
      </c>
      <c r="F39" s="90">
        <v>1</v>
      </c>
      <c r="G39" s="90">
        <v>1</v>
      </c>
      <c r="H39" s="90">
        <v>1</v>
      </c>
    </row>
    <row r="40" spans="1:8" x14ac:dyDescent="0.25">
      <c r="C40" s="5" t="s">
        <v>339</v>
      </c>
      <c r="D40" s="90">
        <v>0</v>
      </c>
      <c r="E40" s="90">
        <v>0</v>
      </c>
      <c r="F40" s="90">
        <v>0</v>
      </c>
      <c r="G40" s="90">
        <v>0</v>
      </c>
      <c r="H40" s="90">
        <v>0</v>
      </c>
    </row>
    <row r="41" spans="1:8" x14ac:dyDescent="0.25">
      <c r="C41" s="5" t="s">
        <v>340</v>
      </c>
      <c r="D41" s="90">
        <v>0</v>
      </c>
      <c r="E41" s="90">
        <v>0</v>
      </c>
      <c r="F41" s="90">
        <v>0</v>
      </c>
      <c r="G41" s="90">
        <v>0</v>
      </c>
      <c r="H41" s="90">
        <v>0</v>
      </c>
    </row>
    <row r="42" spans="1:8" x14ac:dyDescent="0.25">
      <c r="A42" s="5" t="s">
        <v>200</v>
      </c>
      <c r="B42" s="5" t="s">
        <v>81</v>
      </c>
      <c r="C42" s="5" t="s">
        <v>338</v>
      </c>
      <c r="D42" s="90">
        <v>0</v>
      </c>
      <c r="E42" s="90">
        <v>1</v>
      </c>
      <c r="F42" s="90">
        <v>1</v>
      </c>
      <c r="G42" s="90">
        <v>1</v>
      </c>
      <c r="H42" s="90">
        <v>1</v>
      </c>
    </row>
    <row r="43" spans="1:8" x14ac:dyDescent="0.25">
      <c r="C43" s="5" t="s">
        <v>339</v>
      </c>
      <c r="D43" s="90">
        <v>0.95</v>
      </c>
      <c r="E43" s="90">
        <v>0.95</v>
      </c>
      <c r="F43" s="90">
        <v>0.95</v>
      </c>
      <c r="G43" s="90">
        <v>0.95</v>
      </c>
      <c r="H43" s="90">
        <v>0.95</v>
      </c>
    </row>
    <row r="44" spans="1:8" x14ac:dyDescent="0.25">
      <c r="C44" s="5" t="s">
        <v>340</v>
      </c>
      <c r="D44" s="90">
        <v>0.91</v>
      </c>
      <c r="E44" s="90">
        <v>0.91</v>
      </c>
      <c r="F44" s="90">
        <v>0.91</v>
      </c>
      <c r="G44" s="90">
        <v>0.91</v>
      </c>
      <c r="H44" s="90">
        <v>0.91</v>
      </c>
    </row>
    <row r="45" spans="1:8" x14ac:dyDescent="0.25">
      <c r="B45" s="5" t="s">
        <v>82</v>
      </c>
      <c r="C45" s="5" t="s">
        <v>338</v>
      </c>
      <c r="D45" s="90">
        <v>0.3</v>
      </c>
      <c r="E45" s="90">
        <v>0.3</v>
      </c>
      <c r="F45" s="90">
        <v>0.3</v>
      </c>
      <c r="G45" s="90">
        <v>0.3</v>
      </c>
      <c r="H45" s="90">
        <v>0.3</v>
      </c>
    </row>
    <row r="46" spans="1:8" x14ac:dyDescent="0.25">
      <c r="C46" s="5" t="s">
        <v>339</v>
      </c>
      <c r="D46" s="90">
        <v>0</v>
      </c>
      <c r="E46" s="90">
        <v>0</v>
      </c>
      <c r="F46" s="90">
        <v>0</v>
      </c>
      <c r="G46" s="90">
        <v>0</v>
      </c>
      <c r="H46" s="90">
        <v>0</v>
      </c>
    </row>
    <row r="47" spans="1:8" x14ac:dyDescent="0.25">
      <c r="C47" s="5" t="s">
        <v>340</v>
      </c>
      <c r="D47" s="90">
        <v>0</v>
      </c>
      <c r="E47" s="90">
        <v>0</v>
      </c>
      <c r="F47" s="90">
        <v>0</v>
      </c>
      <c r="G47" s="90">
        <v>0</v>
      </c>
      <c r="H47" s="90">
        <v>0</v>
      </c>
    </row>
    <row r="48" spans="1:8" x14ac:dyDescent="0.25">
      <c r="A48" s="5" t="s">
        <v>190</v>
      </c>
      <c r="B48" s="5" t="s">
        <v>81</v>
      </c>
      <c r="C48" s="5" t="s">
        <v>338</v>
      </c>
      <c r="D48" s="90">
        <v>0.88</v>
      </c>
      <c r="E48" s="90">
        <v>0.88</v>
      </c>
      <c r="F48" s="90">
        <v>0.88</v>
      </c>
      <c r="G48" s="90">
        <v>0.88</v>
      </c>
      <c r="H48" s="90">
        <v>0.88</v>
      </c>
    </row>
    <row r="49" spans="1:8" x14ac:dyDescent="0.25">
      <c r="C49" s="5" t="s">
        <v>339</v>
      </c>
      <c r="D49" s="90">
        <v>0.78409090909090906</v>
      </c>
      <c r="E49" s="90">
        <v>0.78409090909090906</v>
      </c>
      <c r="F49" s="90">
        <v>0.78409090909090906</v>
      </c>
      <c r="G49" s="90">
        <v>0.78409090909090906</v>
      </c>
      <c r="H49" s="90">
        <v>0.78409090909090906</v>
      </c>
    </row>
    <row r="50" spans="1:8" x14ac:dyDescent="0.25">
      <c r="A50" s="5" t="s">
        <v>199</v>
      </c>
      <c r="B50" s="5" t="s">
        <v>81</v>
      </c>
      <c r="C50" s="5" t="s">
        <v>338</v>
      </c>
      <c r="D50" s="90">
        <v>1</v>
      </c>
      <c r="E50" s="90">
        <v>1</v>
      </c>
      <c r="F50" s="90">
        <v>1</v>
      </c>
      <c r="G50" s="90">
        <v>1</v>
      </c>
      <c r="H50" s="90">
        <v>1</v>
      </c>
    </row>
    <row r="51" spans="1:8" x14ac:dyDescent="0.25">
      <c r="C51" s="5" t="s">
        <v>339</v>
      </c>
      <c r="D51" s="90">
        <v>0.76</v>
      </c>
      <c r="E51" s="90">
        <v>0.76</v>
      </c>
      <c r="F51" s="90">
        <v>0.76</v>
      </c>
      <c r="G51" s="90">
        <v>0.76</v>
      </c>
      <c r="H51" s="90">
        <v>0.76</v>
      </c>
    </row>
    <row r="52" spans="1:8" x14ac:dyDescent="0.25">
      <c r="A52" s="5" t="s">
        <v>183</v>
      </c>
      <c r="B52" s="5" t="s">
        <v>72</v>
      </c>
      <c r="C52" s="5" t="s">
        <v>338</v>
      </c>
      <c r="D52" s="90">
        <v>0.57999999999999996</v>
      </c>
      <c r="E52" s="90">
        <v>0.57999999999999996</v>
      </c>
      <c r="F52" s="90">
        <v>0</v>
      </c>
      <c r="G52" s="90">
        <v>0</v>
      </c>
      <c r="H52" s="90">
        <v>0</v>
      </c>
    </row>
    <row r="53" spans="1:8" x14ac:dyDescent="0.25">
      <c r="C53" s="5" t="s">
        <v>339</v>
      </c>
      <c r="D53" s="90">
        <v>0.51</v>
      </c>
      <c r="E53" s="90">
        <v>0.51</v>
      </c>
      <c r="F53" s="90">
        <v>0</v>
      </c>
      <c r="G53" s="90">
        <v>0</v>
      </c>
      <c r="H53" s="90">
        <v>0</v>
      </c>
    </row>
    <row r="55" spans="1:8" s="93" customFormat="1" ht="13" customHeight="1" x14ac:dyDescent="0.3">
      <c r="A55" s="96" t="s">
        <v>330</v>
      </c>
      <c r="B55" s="97"/>
      <c r="C55" s="97"/>
    </row>
    <row r="56" spans="1:8" ht="13" customHeight="1" x14ac:dyDescent="0.3">
      <c r="A56" s="4" t="s">
        <v>156</v>
      </c>
      <c r="B56" s="4" t="s">
        <v>336</v>
      </c>
      <c r="C56" s="82" t="s">
        <v>337</v>
      </c>
      <c r="D56" s="4" t="s">
        <v>67</v>
      </c>
      <c r="E56" s="4" t="s">
        <v>77</v>
      </c>
      <c r="F56" s="4" t="s">
        <v>78</v>
      </c>
      <c r="G56" s="4" t="s">
        <v>79</v>
      </c>
      <c r="H56" s="4" t="s">
        <v>80</v>
      </c>
    </row>
    <row r="57" spans="1:8" x14ac:dyDescent="0.25">
      <c r="A57" s="5" t="s">
        <v>193</v>
      </c>
      <c r="B57" s="5" t="s">
        <v>81</v>
      </c>
      <c r="C57" s="5" t="s">
        <v>338</v>
      </c>
      <c r="D57" s="90">
        <f>IF($C2="Affected fraction",D2,IF(D2=1,1,D2*0.9))</f>
        <v>0</v>
      </c>
      <c r="E57" s="90">
        <f>IF($C2="Affected fraction",E2,IF(E2=1,1,E2*0.9))</f>
        <v>0</v>
      </c>
      <c r="F57" s="90">
        <f>IF($C2="Affected fraction",F2,IF(F2=1,1,F2*0.9))</f>
        <v>1</v>
      </c>
      <c r="G57" s="90">
        <f>IF($C2="Affected fraction",G2,IF(G2=1,1,G2*0.9))</f>
        <v>1</v>
      </c>
      <c r="H57" s="90">
        <f>IF($C2="Affected fraction",H2,IF(H2=1,1,H2*0.9))</f>
        <v>1</v>
      </c>
    </row>
    <row r="58" spans="1:8" x14ac:dyDescent="0.25">
      <c r="C58" s="5" t="s">
        <v>339</v>
      </c>
      <c r="D58" s="90">
        <f t="shared" ref="D58:E77" si="0">IF($C3="Affected fraction",D3,IF(D3=1,1,D3*0.9))</f>
        <v>0</v>
      </c>
      <c r="E58" s="90">
        <f t="shared" si="0"/>
        <v>0</v>
      </c>
      <c r="F58" s="90">
        <v>0.79</v>
      </c>
      <c r="G58" s="90">
        <v>0.79</v>
      </c>
      <c r="H58" s="90">
        <v>0.79</v>
      </c>
    </row>
    <row r="59" spans="1:8" x14ac:dyDescent="0.25">
      <c r="C59" s="5" t="s">
        <v>340</v>
      </c>
      <c r="D59" s="90">
        <f t="shared" si="0"/>
        <v>0</v>
      </c>
      <c r="E59" s="90">
        <f t="shared" si="0"/>
        <v>0</v>
      </c>
      <c r="F59" s="90">
        <v>0.82</v>
      </c>
      <c r="G59" s="90">
        <v>0.82</v>
      </c>
      <c r="H59" s="90">
        <v>0.82</v>
      </c>
    </row>
    <row r="60" spans="1:8" x14ac:dyDescent="0.25">
      <c r="A60" s="5" t="s">
        <v>191</v>
      </c>
      <c r="B60" s="5" t="s">
        <v>205</v>
      </c>
      <c r="C60" s="5" t="s">
        <v>338</v>
      </c>
      <c r="D60" s="90">
        <f t="shared" si="0"/>
        <v>0</v>
      </c>
      <c r="E60" s="90">
        <f t="shared" si="0"/>
        <v>0</v>
      </c>
      <c r="F60" s="90">
        <f t="shared" ref="F60:H68" si="1">IF($C5="Affected fraction",F5,IF(F5=1,1,F5*0.9))</f>
        <v>1</v>
      </c>
      <c r="G60" s="90">
        <f t="shared" si="1"/>
        <v>1</v>
      </c>
      <c r="H60" s="90">
        <f t="shared" si="1"/>
        <v>0</v>
      </c>
    </row>
    <row r="61" spans="1:8" x14ac:dyDescent="0.25">
      <c r="C61" s="5" t="s">
        <v>340</v>
      </c>
      <c r="D61" s="90">
        <f t="shared" si="0"/>
        <v>0</v>
      </c>
      <c r="E61" s="90">
        <f t="shared" si="0"/>
        <v>0</v>
      </c>
      <c r="F61" s="90">
        <f t="shared" si="1"/>
        <v>0</v>
      </c>
      <c r="G61" s="90">
        <f t="shared" si="1"/>
        <v>0</v>
      </c>
      <c r="H61" s="90">
        <f t="shared" si="1"/>
        <v>0</v>
      </c>
    </row>
    <row r="62" spans="1:8" x14ac:dyDescent="0.25">
      <c r="B62" s="5" t="s">
        <v>204</v>
      </c>
      <c r="C62" s="5" t="s">
        <v>338</v>
      </c>
      <c r="D62" s="90">
        <f t="shared" si="0"/>
        <v>0</v>
      </c>
      <c r="E62" s="90">
        <f t="shared" si="0"/>
        <v>0</v>
      </c>
      <c r="F62" s="90">
        <f t="shared" si="1"/>
        <v>1</v>
      </c>
      <c r="G62" s="90">
        <f t="shared" si="1"/>
        <v>1</v>
      </c>
      <c r="H62" s="90">
        <f t="shared" si="1"/>
        <v>0</v>
      </c>
    </row>
    <row r="63" spans="1:8" x14ac:dyDescent="0.25">
      <c r="C63" s="5" t="s">
        <v>340</v>
      </c>
      <c r="D63" s="90">
        <f t="shared" si="0"/>
        <v>0</v>
      </c>
      <c r="E63" s="90">
        <f t="shared" si="0"/>
        <v>0</v>
      </c>
      <c r="F63" s="90">
        <f t="shared" si="1"/>
        <v>0</v>
      </c>
      <c r="G63" s="90">
        <f t="shared" si="1"/>
        <v>0</v>
      </c>
      <c r="H63" s="90">
        <f t="shared" si="1"/>
        <v>0</v>
      </c>
    </row>
    <row r="64" spans="1:8" x14ac:dyDescent="0.25">
      <c r="A64" s="5" t="s">
        <v>184</v>
      </c>
      <c r="B64" s="5" t="s">
        <v>205</v>
      </c>
      <c r="C64" s="5" t="s">
        <v>338</v>
      </c>
      <c r="D64" s="90">
        <f t="shared" si="0"/>
        <v>0</v>
      </c>
      <c r="E64" s="90">
        <f t="shared" si="0"/>
        <v>0</v>
      </c>
      <c r="F64" s="90">
        <f t="shared" si="1"/>
        <v>1</v>
      </c>
      <c r="G64" s="90">
        <f t="shared" si="1"/>
        <v>1</v>
      </c>
      <c r="H64" s="90">
        <f t="shared" si="1"/>
        <v>0</v>
      </c>
    </row>
    <row r="65" spans="1:8" x14ac:dyDescent="0.25">
      <c r="C65" s="5" t="s">
        <v>340</v>
      </c>
      <c r="D65" s="90">
        <f t="shared" si="0"/>
        <v>0</v>
      </c>
      <c r="E65" s="90">
        <f t="shared" si="0"/>
        <v>0</v>
      </c>
      <c r="F65" s="90">
        <f t="shared" si="1"/>
        <v>0</v>
      </c>
      <c r="G65" s="90">
        <f t="shared" si="1"/>
        <v>0</v>
      </c>
      <c r="H65" s="90">
        <f t="shared" si="1"/>
        <v>0</v>
      </c>
    </row>
    <row r="66" spans="1:8" x14ac:dyDescent="0.25">
      <c r="B66" s="5" t="s">
        <v>204</v>
      </c>
      <c r="C66" s="5" t="s">
        <v>338</v>
      </c>
      <c r="D66" s="90">
        <f t="shared" si="0"/>
        <v>0</v>
      </c>
      <c r="E66" s="90">
        <f t="shared" si="0"/>
        <v>0</v>
      </c>
      <c r="F66" s="90">
        <f t="shared" si="1"/>
        <v>1</v>
      </c>
      <c r="G66" s="90">
        <f t="shared" si="1"/>
        <v>1</v>
      </c>
      <c r="H66" s="90">
        <f t="shared" si="1"/>
        <v>0</v>
      </c>
    </row>
    <row r="67" spans="1:8" x14ac:dyDescent="0.25">
      <c r="C67" s="5" t="s">
        <v>340</v>
      </c>
      <c r="D67" s="90">
        <f t="shared" si="0"/>
        <v>0</v>
      </c>
      <c r="E67" s="90">
        <f t="shared" si="0"/>
        <v>0</v>
      </c>
      <c r="F67" s="90">
        <f t="shared" si="1"/>
        <v>0</v>
      </c>
      <c r="G67" s="90">
        <f t="shared" si="1"/>
        <v>0</v>
      </c>
      <c r="H67" s="90">
        <f t="shared" si="1"/>
        <v>0</v>
      </c>
    </row>
    <row r="68" spans="1:8" x14ac:dyDescent="0.25">
      <c r="A68" s="5" t="s">
        <v>192</v>
      </c>
      <c r="B68" s="5" t="s">
        <v>205</v>
      </c>
      <c r="C68" s="5" t="s">
        <v>338</v>
      </c>
      <c r="D68" s="90">
        <f t="shared" si="0"/>
        <v>0</v>
      </c>
      <c r="E68" s="90">
        <f t="shared" si="0"/>
        <v>0</v>
      </c>
      <c r="F68" s="90">
        <f t="shared" si="1"/>
        <v>1</v>
      </c>
      <c r="G68" s="90">
        <f t="shared" si="1"/>
        <v>1</v>
      </c>
      <c r="H68" s="90">
        <f t="shared" si="1"/>
        <v>0</v>
      </c>
    </row>
    <row r="69" spans="1:8" x14ac:dyDescent="0.25">
      <c r="C69" s="5" t="s">
        <v>340</v>
      </c>
      <c r="D69" s="90">
        <f t="shared" si="0"/>
        <v>0</v>
      </c>
      <c r="E69" s="90">
        <f t="shared" si="0"/>
        <v>0</v>
      </c>
      <c r="F69" s="90">
        <v>0.55000000000000004</v>
      </c>
      <c r="G69" s="90">
        <v>0.55000000000000004</v>
      </c>
      <c r="H69" s="90">
        <f t="shared" ref="H69:H108" si="2">IF($C14="Affected fraction",H14,IF(H14=1,1,H14*0.9))</f>
        <v>0</v>
      </c>
    </row>
    <row r="70" spans="1:8" x14ac:dyDescent="0.25">
      <c r="B70" s="5" t="s">
        <v>204</v>
      </c>
      <c r="C70" s="5" t="s">
        <v>338</v>
      </c>
      <c r="D70" s="90">
        <f t="shared" si="0"/>
        <v>0</v>
      </c>
      <c r="E70" s="90">
        <f t="shared" si="0"/>
        <v>0</v>
      </c>
      <c r="F70" s="90">
        <f>IF($C15="Affected fraction",F15,IF(F15=1,1,F15*0.9))</f>
        <v>1</v>
      </c>
      <c r="G70" s="90">
        <f>IF($C15="Affected fraction",G15,IF(G15=1,1,G15*0.9))</f>
        <v>1</v>
      </c>
      <c r="H70" s="90">
        <f t="shared" si="2"/>
        <v>0</v>
      </c>
    </row>
    <row r="71" spans="1:8" x14ac:dyDescent="0.25">
      <c r="C71" s="5" t="s">
        <v>340</v>
      </c>
      <c r="D71" s="90">
        <f t="shared" si="0"/>
        <v>0</v>
      </c>
      <c r="E71" s="90">
        <f t="shared" si="0"/>
        <v>0</v>
      </c>
      <c r="F71" s="90">
        <v>0.8</v>
      </c>
      <c r="G71" s="90">
        <v>0.8</v>
      </c>
      <c r="H71" s="90">
        <f t="shared" si="2"/>
        <v>0</v>
      </c>
    </row>
    <row r="72" spans="1:8" x14ac:dyDescent="0.25">
      <c r="A72" s="5" t="s">
        <v>169</v>
      </c>
      <c r="B72" s="5" t="s">
        <v>205</v>
      </c>
      <c r="C72" s="5" t="s">
        <v>338</v>
      </c>
      <c r="D72" s="90">
        <f t="shared" si="0"/>
        <v>0</v>
      </c>
      <c r="E72" s="90">
        <f t="shared" si="0"/>
        <v>0</v>
      </c>
      <c r="F72" s="90">
        <f t="shared" ref="F72:G91" si="3">IF($C17="Affected fraction",F17,IF(F17=1,1,F17*0.9))</f>
        <v>1</v>
      </c>
      <c r="G72" s="90">
        <f t="shared" si="3"/>
        <v>1</v>
      </c>
      <c r="H72" s="90">
        <f t="shared" si="2"/>
        <v>1</v>
      </c>
    </row>
    <row r="73" spans="1:8" x14ac:dyDescent="0.25">
      <c r="C73" s="5" t="s">
        <v>340</v>
      </c>
      <c r="D73" s="90">
        <f t="shared" si="0"/>
        <v>0</v>
      </c>
      <c r="E73" s="90">
        <f t="shared" si="0"/>
        <v>0</v>
      </c>
      <c r="F73" s="90">
        <f t="shared" si="3"/>
        <v>0.28800000000000003</v>
      </c>
      <c r="G73" s="90">
        <f t="shared" si="3"/>
        <v>0.28800000000000003</v>
      </c>
      <c r="H73" s="90">
        <f t="shared" si="2"/>
        <v>0.28800000000000003</v>
      </c>
    </row>
    <row r="74" spans="1:8" x14ac:dyDescent="0.25">
      <c r="B74" s="5" t="s">
        <v>204</v>
      </c>
      <c r="C74" s="5" t="s">
        <v>338</v>
      </c>
      <c r="D74" s="90">
        <f t="shared" si="0"/>
        <v>0</v>
      </c>
      <c r="E74" s="90">
        <f t="shared" si="0"/>
        <v>0</v>
      </c>
      <c r="F74" s="90">
        <f t="shared" si="3"/>
        <v>1</v>
      </c>
      <c r="G74" s="90">
        <f t="shared" si="3"/>
        <v>1</v>
      </c>
      <c r="H74" s="90">
        <f t="shared" si="2"/>
        <v>1</v>
      </c>
    </row>
    <row r="75" spans="1:8" x14ac:dyDescent="0.25">
      <c r="C75" s="5" t="s">
        <v>340</v>
      </c>
      <c r="D75" s="90">
        <f t="shared" si="0"/>
        <v>0</v>
      </c>
      <c r="E75" s="90">
        <f t="shared" si="0"/>
        <v>0</v>
      </c>
      <c r="F75" s="90">
        <f t="shared" si="3"/>
        <v>0.36000000000000004</v>
      </c>
      <c r="G75" s="90">
        <f t="shared" si="3"/>
        <v>0.36000000000000004</v>
      </c>
      <c r="H75" s="90">
        <f t="shared" si="2"/>
        <v>0.36000000000000004</v>
      </c>
    </row>
    <row r="76" spans="1:8" x14ac:dyDescent="0.25">
      <c r="A76" s="5" t="s">
        <v>174</v>
      </c>
      <c r="B76" s="5" t="s">
        <v>74</v>
      </c>
      <c r="C76" s="5" t="s">
        <v>338</v>
      </c>
      <c r="D76" s="90">
        <f t="shared" si="0"/>
        <v>1</v>
      </c>
      <c r="E76" s="90">
        <f t="shared" si="0"/>
        <v>0</v>
      </c>
      <c r="F76" s="90">
        <f t="shared" si="3"/>
        <v>0</v>
      </c>
      <c r="G76" s="90">
        <f t="shared" si="3"/>
        <v>0</v>
      </c>
      <c r="H76" s="90">
        <f t="shared" si="2"/>
        <v>0</v>
      </c>
    </row>
    <row r="77" spans="1:8" x14ac:dyDescent="0.25">
      <c r="C77" s="5" t="s">
        <v>339</v>
      </c>
      <c r="D77" s="90">
        <f t="shared" si="0"/>
        <v>0.11700000000000001</v>
      </c>
      <c r="E77" s="90">
        <f t="shared" si="0"/>
        <v>0</v>
      </c>
      <c r="F77" s="90">
        <f t="shared" si="3"/>
        <v>0</v>
      </c>
      <c r="G77" s="90">
        <f t="shared" si="3"/>
        <v>0</v>
      </c>
      <c r="H77" s="90">
        <f t="shared" si="2"/>
        <v>0</v>
      </c>
    </row>
    <row r="78" spans="1:8" x14ac:dyDescent="0.25">
      <c r="A78" s="5" t="s">
        <v>172</v>
      </c>
      <c r="B78" s="5" t="s">
        <v>74</v>
      </c>
      <c r="C78" s="5" t="s">
        <v>338</v>
      </c>
      <c r="D78" s="90">
        <f t="shared" ref="D78:E97" si="4">IF($C23="Affected fraction",D23,IF(D23=1,1,D23*0.9))</f>
        <v>1</v>
      </c>
      <c r="E78" s="90">
        <f t="shared" si="4"/>
        <v>0</v>
      </c>
      <c r="F78" s="90">
        <f t="shared" si="3"/>
        <v>0</v>
      </c>
      <c r="G78" s="90">
        <f t="shared" si="3"/>
        <v>0</v>
      </c>
      <c r="H78" s="90">
        <f t="shared" si="2"/>
        <v>0</v>
      </c>
    </row>
    <row r="79" spans="1:8" x14ac:dyDescent="0.25">
      <c r="C79" s="5" t="s">
        <v>339</v>
      </c>
      <c r="D79" s="90">
        <f t="shared" si="4"/>
        <v>0.11700000000000001</v>
      </c>
      <c r="E79" s="90">
        <f t="shared" si="4"/>
        <v>0</v>
      </c>
      <c r="F79" s="90">
        <f t="shared" si="3"/>
        <v>0</v>
      </c>
      <c r="G79" s="90">
        <f t="shared" si="3"/>
        <v>0</v>
      </c>
      <c r="H79" s="90">
        <f t="shared" si="2"/>
        <v>0</v>
      </c>
    </row>
    <row r="80" spans="1:8" x14ac:dyDescent="0.25">
      <c r="A80" s="5" t="s">
        <v>173</v>
      </c>
      <c r="B80" s="5" t="s">
        <v>74</v>
      </c>
      <c r="C80" s="5" t="s">
        <v>338</v>
      </c>
      <c r="D80" s="90">
        <f t="shared" si="4"/>
        <v>1</v>
      </c>
      <c r="E80" s="90">
        <f t="shared" si="4"/>
        <v>0</v>
      </c>
      <c r="F80" s="90">
        <f t="shared" si="3"/>
        <v>0</v>
      </c>
      <c r="G80" s="90">
        <f t="shared" si="3"/>
        <v>0</v>
      </c>
      <c r="H80" s="90">
        <f t="shared" si="2"/>
        <v>0</v>
      </c>
    </row>
    <row r="81" spans="1:8" x14ac:dyDescent="0.25">
      <c r="C81" s="5" t="s">
        <v>339</v>
      </c>
      <c r="D81" s="90">
        <f t="shared" si="4"/>
        <v>0.11700000000000001</v>
      </c>
      <c r="E81" s="90">
        <f t="shared" si="4"/>
        <v>0</v>
      </c>
      <c r="F81" s="90">
        <f t="shared" si="3"/>
        <v>0</v>
      </c>
      <c r="G81" s="90">
        <f t="shared" si="3"/>
        <v>0</v>
      </c>
      <c r="H81" s="90">
        <f t="shared" si="2"/>
        <v>0</v>
      </c>
    </row>
    <row r="82" spans="1:8" x14ac:dyDescent="0.25">
      <c r="A82" s="5" t="s">
        <v>197</v>
      </c>
      <c r="B82" s="5" t="s">
        <v>81</v>
      </c>
      <c r="C82" s="5" t="s">
        <v>338</v>
      </c>
      <c r="D82" s="90">
        <f t="shared" si="4"/>
        <v>1</v>
      </c>
      <c r="E82" s="90">
        <f t="shared" si="4"/>
        <v>1</v>
      </c>
      <c r="F82" s="90">
        <f t="shared" si="3"/>
        <v>1</v>
      </c>
      <c r="G82" s="90">
        <f t="shared" si="3"/>
        <v>1</v>
      </c>
      <c r="H82" s="90">
        <f t="shared" si="2"/>
        <v>1</v>
      </c>
    </row>
    <row r="83" spans="1:8" x14ac:dyDescent="0.25">
      <c r="C83" s="5" t="s">
        <v>339</v>
      </c>
      <c r="D83" s="90">
        <f t="shared" si="4"/>
        <v>0</v>
      </c>
      <c r="E83" s="90">
        <f t="shared" si="4"/>
        <v>0</v>
      </c>
      <c r="F83" s="90">
        <f t="shared" si="3"/>
        <v>0</v>
      </c>
      <c r="G83" s="90">
        <f t="shared" si="3"/>
        <v>0</v>
      </c>
      <c r="H83" s="90">
        <f t="shared" si="2"/>
        <v>0</v>
      </c>
    </row>
    <row r="84" spans="1:8" x14ac:dyDescent="0.25">
      <c r="C84" s="5" t="s">
        <v>340</v>
      </c>
      <c r="D84" s="90">
        <f t="shared" si="4"/>
        <v>0</v>
      </c>
      <c r="E84" s="90">
        <f t="shared" si="4"/>
        <v>0</v>
      </c>
      <c r="F84" s="90">
        <f t="shared" si="3"/>
        <v>0</v>
      </c>
      <c r="G84" s="90">
        <f t="shared" si="3"/>
        <v>0</v>
      </c>
      <c r="H84" s="90">
        <f t="shared" si="2"/>
        <v>0</v>
      </c>
    </row>
    <row r="85" spans="1:8" x14ac:dyDescent="0.25">
      <c r="A85" s="5" t="s">
        <v>198</v>
      </c>
      <c r="B85" s="5" t="s">
        <v>81</v>
      </c>
      <c r="C85" s="5" t="s">
        <v>338</v>
      </c>
      <c r="D85" s="90">
        <f t="shared" si="4"/>
        <v>1</v>
      </c>
      <c r="E85" s="90">
        <f t="shared" si="4"/>
        <v>1</v>
      </c>
      <c r="F85" s="90">
        <f t="shared" si="3"/>
        <v>1</v>
      </c>
      <c r="G85" s="90">
        <f t="shared" si="3"/>
        <v>1</v>
      </c>
      <c r="H85" s="90">
        <f t="shared" si="2"/>
        <v>1</v>
      </c>
    </row>
    <row r="86" spans="1:8" x14ac:dyDescent="0.25">
      <c r="C86" s="5" t="s">
        <v>339</v>
      </c>
      <c r="D86" s="90">
        <f t="shared" si="4"/>
        <v>0</v>
      </c>
      <c r="E86" s="90">
        <f t="shared" si="4"/>
        <v>0</v>
      </c>
      <c r="F86" s="90">
        <f t="shared" si="3"/>
        <v>0</v>
      </c>
      <c r="G86" s="90">
        <f t="shared" si="3"/>
        <v>0</v>
      </c>
      <c r="H86" s="90">
        <f t="shared" si="2"/>
        <v>0</v>
      </c>
    </row>
    <row r="87" spans="1:8" x14ac:dyDescent="0.25">
      <c r="C87" s="5" t="s">
        <v>340</v>
      </c>
      <c r="D87" s="90">
        <f t="shared" si="4"/>
        <v>0</v>
      </c>
      <c r="E87" s="90">
        <f t="shared" si="4"/>
        <v>0</v>
      </c>
      <c r="F87" s="90">
        <f t="shared" si="3"/>
        <v>0</v>
      </c>
      <c r="G87" s="90">
        <f t="shared" si="3"/>
        <v>0</v>
      </c>
      <c r="H87" s="90">
        <f t="shared" si="2"/>
        <v>0</v>
      </c>
    </row>
    <row r="88" spans="1:8" x14ac:dyDescent="0.25">
      <c r="A88" s="5" t="s">
        <v>196</v>
      </c>
      <c r="B88" s="5" t="s">
        <v>81</v>
      </c>
      <c r="C88" s="5" t="s">
        <v>338</v>
      </c>
      <c r="D88" s="90">
        <f t="shared" si="4"/>
        <v>1</v>
      </c>
      <c r="E88" s="90">
        <f t="shared" si="4"/>
        <v>1</v>
      </c>
      <c r="F88" s="90">
        <f t="shared" si="3"/>
        <v>1</v>
      </c>
      <c r="G88" s="90">
        <f t="shared" si="3"/>
        <v>1</v>
      </c>
      <c r="H88" s="90">
        <f t="shared" si="2"/>
        <v>1</v>
      </c>
    </row>
    <row r="89" spans="1:8" x14ac:dyDescent="0.25">
      <c r="C89" s="5" t="s">
        <v>339</v>
      </c>
      <c r="D89" s="90">
        <f t="shared" si="4"/>
        <v>0</v>
      </c>
      <c r="E89" s="90">
        <f t="shared" si="4"/>
        <v>0</v>
      </c>
      <c r="F89" s="90">
        <f t="shared" si="3"/>
        <v>0</v>
      </c>
      <c r="G89" s="90">
        <f t="shared" si="3"/>
        <v>0</v>
      </c>
      <c r="H89" s="90">
        <f t="shared" si="2"/>
        <v>0</v>
      </c>
    </row>
    <row r="90" spans="1:8" x14ac:dyDescent="0.25">
      <c r="C90" s="5" t="s">
        <v>340</v>
      </c>
      <c r="D90" s="90">
        <f t="shared" si="4"/>
        <v>0</v>
      </c>
      <c r="E90" s="90">
        <f t="shared" si="4"/>
        <v>0</v>
      </c>
      <c r="F90" s="90">
        <f t="shared" si="3"/>
        <v>0</v>
      </c>
      <c r="G90" s="90">
        <f t="shared" si="3"/>
        <v>0</v>
      </c>
      <c r="H90" s="90">
        <f t="shared" si="2"/>
        <v>0</v>
      </c>
    </row>
    <row r="91" spans="1:8" x14ac:dyDescent="0.25">
      <c r="A91" s="5" t="s">
        <v>195</v>
      </c>
      <c r="B91" s="5" t="s">
        <v>81</v>
      </c>
      <c r="C91" s="5" t="s">
        <v>338</v>
      </c>
      <c r="D91" s="90">
        <f t="shared" si="4"/>
        <v>1</v>
      </c>
      <c r="E91" s="90">
        <f t="shared" si="4"/>
        <v>1</v>
      </c>
      <c r="F91" s="90">
        <f t="shared" si="3"/>
        <v>1</v>
      </c>
      <c r="G91" s="90">
        <f t="shared" si="3"/>
        <v>1</v>
      </c>
      <c r="H91" s="90">
        <f t="shared" si="2"/>
        <v>1</v>
      </c>
    </row>
    <row r="92" spans="1:8" x14ac:dyDescent="0.25">
      <c r="C92" s="5" t="s">
        <v>339</v>
      </c>
      <c r="D92" s="90">
        <f t="shared" si="4"/>
        <v>0</v>
      </c>
      <c r="E92" s="90">
        <f t="shared" si="4"/>
        <v>0</v>
      </c>
      <c r="F92" s="90">
        <f t="shared" ref="F92:G111" si="5">IF($C37="Affected fraction",F37,IF(F37=1,1,F37*0.9))</f>
        <v>0</v>
      </c>
      <c r="G92" s="90">
        <f t="shared" si="5"/>
        <v>0</v>
      </c>
      <c r="H92" s="90">
        <f t="shared" si="2"/>
        <v>0</v>
      </c>
    </row>
    <row r="93" spans="1:8" x14ac:dyDescent="0.25">
      <c r="C93" s="5" t="s">
        <v>340</v>
      </c>
      <c r="D93" s="90">
        <f t="shared" si="4"/>
        <v>0</v>
      </c>
      <c r="E93" s="90">
        <f t="shared" si="4"/>
        <v>0</v>
      </c>
      <c r="F93" s="90">
        <f t="shared" si="5"/>
        <v>0</v>
      </c>
      <c r="G93" s="90">
        <f t="shared" si="5"/>
        <v>0</v>
      </c>
      <c r="H93" s="90">
        <f t="shared" si="2"/>
        <v>0</v>
      </c>
    </row>
    <row r="94" spans="1:8" x14ac:dyDescent="0.25">
      <c r="A94" s="5" t="s">
        <v>194</v>
      </c>
      <c r="B94" s="5" t="s">
        <v>81</v>
      </c>
      <c r="C94" s="5" t="s">
        <v>338</v>
      </c>
      <c r="D94" s="90">
        <f t="shared" si="4"/>
        <v>1</v>
      </c>
      <c r="E94" s="90">
        <f t="shared" si="4"/>
        <v>1</v>
      </c>
      <c r="F94" s="90">
        <f t="shared" si="5"/>
        <v>1</v>
      </c>
      <c r="G94" s="90">
        <f t="shared" si="5"/>
        <v>1</v>
      </c>
      <c r="H94" s="90">
        <f t="shared" si="2"/>
        <v>1</v>
      </c>
    </row>
    <row r="95" spans="1:8" x14ac:dyDescent="0.25">
      <c r="C95" s="5" t="s">
        <v>339</v>
      </c>
      <c r="D95" s="90">
        <f t="shared" si="4"/>
        <v>0</v>
      </c>
      <c r="E95" s="90">
        <f t="shared" si="4"/>
        <v>0</v>
      </c>
      <c r="F95" s="90">
        <f t="shared" si="5"/>
        <v>0</v>
      </c>
      <c r="G95" s="90">
        <f t="shared" si="5"/>
        <v>0</v>
      </c>
      <c r="H95" s="90">
        <f t="shared" si="2"/>
        <v>0</v>
      </c>
    </row>
    <row r="96" spans="1:8" x14ac:dyDescent="0.25">
      <c r="C96" s="5" t="s">
        <v>340</v>
      </c>
      <c r="D96" s="90">
        <f t="shared" si="4"/>
        <v>0</v>
      </c>
      <c r="E96" s="90">
        <f t="shared" si="4"/>
        <v>0</v>
      </c>
      <c r="F96" s="90">
        <f t="shared" si="5"/>
        <v>0</v>
      </c>
      <c r="G96" s="90">
        <f t="shared" si="5"/>
        <v>0</v>
      </c>
      <c r="H96" s="90">
        <f t="shared" si="2"/>
        <v>0</v>
      </c>
    </row>
    <row r="97" spans="1:8" x14ac:dyDescent="0.25">
      <c r="A97" s="5" t="s">
        <v>200</v>
      </c>
      <c r="B97" s="5" t="s">
        <v>81</v>
      </c>
      <c r="C97" s="5" t="s">
        <v>338</v>
      </c>
      <c r="D97" s="90">
        <f t="shared" si="4"/>
        <v>0</v>
      </c>
      <c r="E97" s="90">
        <f t="shared" si="4"/>
        <v>1</v>
      </c>
      <c r="F97" s="90">
        <f t="shared" si="5"/>
        <v>1</v>
      </c>
      <c r="G97" s="90">
        <f t="shared" si="5"/>
        <v>1</v>
      </c>
      <c r="H97" s="90">
        <f t="shared" si="2"/>
        <v>1</v>
      </c>
    </row>
    <row r="98" spans="1:8" x14ac:dyDescent="0.25">
      <c r="C98" s="5" t="s">
        <v>339</v>
      </c>
      <c r="D98" s="90">
        <f t="shared" ref="D98:E117" si="6">IF($C43="Affected fraction",D43,IF(D43=1,1,D43*0.9))</f>
        <v>0.85499999999999998</v>
      </c>
      <c r="E98" s="90">
        <f t="shared" si="6"/>
        <v>0.85499999999999998</v>
      </c>
      <c r="F98" s="90">
        <f t="shared" si="5"/>
        <v>0.85499999999999998</v>
      </c>
      <c r="G98" s="90">
        <f t="shared" si="5"/>
        <v>0.85499999999999998</v>
      </c>
      <c r="H98" s="90">
        <f t="shared" si="2"/>
        <v>0.85499999999999998</v>
      </c>
    </row>
    <row r="99" spans="1:8" x14ac:dyDescent="0.25">
      <c r="C99" s="5" t="s">
        <v>340</v>
      </c>
      <c r="D99" s="90">
        <f t="shared" si="6"/>
        <v>0.81900000000000006</v>
      </c>
      <c r="E99" s="90">
        <f t="shared" si="6"/>
        <v>0.81900000000000006</v>
      </c>
      <c r="F99" s="90">
        <f t="shared" si="5"/>
        <v>0.81900000000000006</v>
      </c>
      <c r="G99" s="90">
        <f t="shared" si="5"/>
        <v>0.81900000000000006</v>
      </c>
      <c r="H99" s="90">
        <f t="shared" si="2"/>
        <v>0.81900000000000006</v>
      </c>
    </row>
    <row r="100" spans="1:8" x14ac:dyDescent="0.25">
      <c r="B100" s="5" t="s">
        <v>82</v>
      </c>
      <c r="C100" s="5" t="s">
        <v>338</v>
      </c>
      <c r="D100" s="90">
        <f t="shared" si="6"/>
        <v>0.3</v>
      </c>
      <c r="E100" s="90">
        <f t="shared" si="6"/>
        <v>0.3</v>
      </c>
      <c r="F100" s="90">
        <f t="shared" si="5"/>
        <v>0.3</v>
      </c>
      <c r="G100" s="90">
        <f t="shared" si="5"/>
        <v>0.3</v>
      </c>
      <c r="H100" s="90">
        <f t="shared" si="2"/>
        <v>0.3</v>
      </c>
    </row>
    <row r="101" spans="1:8" x14ac:dyDescent="0.25">
      <c r="C101" s="5" t="s">
        <v>339</v>
      </c>
      <c r="D101" s="90">
        <f t="shared" si="6"/>
        <v>0</v>
      </c>
      <c r="E101" s="90">
        <f t="shared" si="6"/>
        <v>0</v>
      </c>
      <c r="F101" s="90">
        <f t="shared" si="5"/>
        <v>0</v>
      </c>
      <c r="G101" s="90">
        <f t="shared" si="5"/>
        <v>0</v>
      </c>
      <c r="H101" s="90">
        <f t="shared" si="2"/>
        <v>0</v>
      </c>
    </row>
    <row r="102" spans="1:8" x14ac:dyDescent="0.25">
      <c r="C102" s="5" t="s">
        <v>340</v>
      </c>
      <c r="D102" s="90">
        <f t="shared" si="6"/>
        <v>0</v>
      </c>
      <c r="E102" s="90">
        <f t="shared" si="6"/>
        <v>0</v>
      </c>
      <c r="F102" s="90">
        <f t="shared" si="5"/>
        <v>0</v>
      </c>
      <c r="G102" s="90">
        <f t="shared" si="5"/>
        <v>0</v>
      </c>
      <c r="H102" s="90">
        <f t="shared" si="2"/>
        <v>0</v>
      </c>
    </row>
    <row r="103" spans="1:8" x14ac:dyDescent="0.25">
      <c r="A103" s="5" t="s">
        <v>190</v>
      </c>
      <c r="B103" s="5" t="s">
        <v>81</v>
      </c>
      <c r="C103" s="5" t="s">
        <v>338</v>
      </c>
      <c r="D103" s="90">
        <f t="shared" si="6"/>
        <v>0.88</v>
      </c>
      <c r="E103" s="90">
        <f t="shared" si="6"/>
        <v>0.88</v>
      </c>
      <c r="F103" s="90">
        <f t="shared" si="5"/>
        <v>0.88</v>
      </c>
      <c r="G103" s="90">
        <f t="shared" si="5"/>
        <v>0.88</v>
      </c>
      <c r="H103" s="90">
        <f t="shared" si="2"/>
        <v>0.88</v>
      </c>
    </row>
    <row r="104" spans="1:8" x14ac:dyDescent="0.25">
      <c r="C104" s="5" t="s">
        <v>339</v>
      </c>
      <c r="D104" s="90">
        <f t="shared" si="6"/>
        <v>0.70568181818181819</v>
      </c>
      <c r="E104" s="90">
        <f t="shared" si="6"/>
        <v>0.70568181818181819</v>
      </c>
      <c r="F104" s="90">
        <f t="shared" si="5"/>
        <v>0.70568181818181819</v>
      </c>
      <c r="G104" s="90">
        <f t="shared" si="5"/>
        <v>0.70568181818181819</v>
      </c>
      <c r="H104" s="90">
        <f t="shared" si="2"/>
        <v>0.70568181818181819</v>
      </c>
    </row>
    <row r="105" spans="1:8" x14ac:dyDescent="0.25">
      <c r="A105" s="5" t="s">
        <v>199</v>
      </c>
      <c r="B105" s="5" t="s">
        <v>81</v>
      </c>
      <c r="C105" s="5" t="s">
        <v>338</v>
      </c>
      <c r="D105" s="90">
        <f t="shared" si="6"/>
        <v>1</v>
      </c>
      <c r="E105" s="90">
        <f t="shared" si="6"/>
        <v>1</v>
      </c>
      <c r="F105" s="90">
        <f t="shared" si="5"/>
        <v>1</v>
      </c>
      <c r="G105" s="90">
        <f t="shared" si="5"/>
        <v>1</v>
      </c>
      <c r="H105" s="90">
        <f t="shared" si="2"/>
        <v>1</v>
      </c>
    </row>
    <row r="106" spans="1:8" x14ac:dyDescent="0.25">
      <c r="C106" s="5" t="s">
        <v>339</v>
      </c>
      <c r="D106" s="90">
        <f t="shared" si="6"/>
        <v>0.68400000000000005</v>
      </c>
      <c r="E106" s="90">
        <f t="shared" si="6"/>
        <v>0.68400000000000005</v>
      </c>
      <c r="F106" s="90">
        <f t="shared" si="5"/>
        <v>0.68400000000000005</v>
      </c>
      <c r="G106" s="90">
        <f t="shared" si="5"/>
        <v>0.68400000000000005</v>
      </c>
      <c r="H106" s="90">
        <f t="shared" si="2"/>
        <v>0.68400000000000005</v>
      </c>
    </row>
    <row r="107" spans="1:8" x14ac:dyDescent="0.25">
      <c r="A107" s="5" t="s">
        <v>183</v>
      </c>
      <c r="B107" s="5" t="s">
        <v>72</v>
      </c>
      <c r="C107" s="5" t="s">
        <v>338</v>
      </c>
      <c r="D107" s="90">
        <f t="shared" si="6"/>
        <v>0.57999999999999996</v>
      </c>
      <c r="E107" s="90">
        <f t="shared" si="6"/>
        <v>0.57999999999999996</v>
      </c>
      <c r="F107" s="90">
        <f t="shared" si="5"/>
        <v>0</v>
      </c>
      <c r="G107" s="90">
        <f t="shared" si="5"/>
        <v>0</v>
      </c>
      <c r="H107" s="90">
        <f t="shared" si="2"/>
        <v>0</v>
      </c>
    </row>
    <row r="108" spans="1:8" x14ac:dyDescent="0.25">
      <c r="C108" s="5" t="s">
        <v>339</v>
      </c>
      <c r="D108" s="90">
        <f t="shared" si="6"/>
        <v>0.45900000000000002</v>
      </c>
      <c r="E108" s="90">
        <f t="shared" si="6"/>
        <v>0.45900000000000002</v>
      </c>
      <c r="F108" s="90">
        <f t="shared" si="5"/>
        <v>0</v>
      </c>
      <c r="G108" s="90">
        <f t="shared" si="5"/>
        <v>0</v>
      </c>
      <c r="H108" s="90">
        <f t="shared" si="2"/>
        <v>0</v>
      </c>
    </row>
    <row r="110" spans="1:8" s="93" customFormat="1" ht="13" customHeight="1" x14ac:dyDescent="0.3">
      <c r="A110" s="96" t="s">
        <v>333</v>
      </c>
      <c r="B110" s="97"/>
      <c r="C110" s="97"/>
    </row>
    <row r="111" spans="1:8" ht="13" customHeight="1" x14ac:dyDescent="0.3">
      <c r="A111" s="4" t="s">
        <v>156</v>
      </c>
      <c r="B111" s="4" t="s">
        <v>336</v>
      </c>
      <c r="C111" s="82" t="s">
        <v>337</v>
      </c>
      <c r="D111" s="4" t="s">
        <v>67</v>
      </c>
      <c r="E111" s="4" t="s">
        <v>77</v>
      </c>
      <c r="F111" s="4" t="s">
        <v>78</v>
      </c>
      <c r="G111" s="4" t="s">
        <v>79</v>
      </c>
      <c r="H111" s="4" t="s">
        <v>80</v>
      </c>
    </row>
    <row r="112" spans="1:8" x14ac:dyDescent="0.25">
      <c r="A112" s="5" t="s">
        <v>193</v>
      </c>
      <c r="B112" s="5" t="s">
        <v>81</v>
      </c>
      <c r="C112" s="5" t="s">
        <v>338</v>
      </c>
      <c r="D112" s="90">
        <f>IF($C2="Affected fraction",D2,IF(D2=1,1,D2*1.05))</f>
        <v>0</v>
      </c>
      <c r="E112" s="90">
        <f>IF($C2="Affected fraction",E2,IF(E2=1,1,E2*1.05))</f>
        <v>0</v>
      </c>
      <c r="F112" s="90">
        <f>IF($C2="Affected fraction",F2,IF(F2=1,1,F2*1.05))</f>
        <v>1</v>
      </c>
      <c r="G112" s="90">
        <f>IF($C2="Affected fraction",G2,IF(G2=1,1,G2*1.05))</f>
        <v>1</v>
      </c>
      <c r="H112" s="90">
        <f>IF($C2="Affected fraction",H2,IF(H2=1,1,H2*1.05))</f>
        <v>1</v>
      </c>
    </row>
    <row r="113" spans="1:8" x14ac:dyDescent="0.25">
      <c r="C113" s="5" t="s">
        <v>339</v>
      </c>
      <c r="D113" s="90">
        <f t="shared" ref="D113:E132" si="7">IF($C3="Affected fraction",D3,IF(D3=1,1,D3*1.05))</f>
        <v>0</v>
      </c>
      <c r="E113" s="90">
        <f t="shared" si="7"/>
        <v>0</v>
      </c>
      <c r="F113" s="90">
        <v>0.98</v>
      </c>
      <c r="G113" s="90">
        <v>0.98</v>
      </c>
      <c r="H113" s="90">
        <v>0.98</v>
      </c>
    </row>
    <row r="114" spans="1:8" x14ac:dyDescent="0.25">
      <c r="C114" s="5" t="s">
        <v>340</v>
      </c>
      <c r="D114" s="90">
        <f t="shared" si="7"/>
        <v>0</v>
      </c>
      <c r="E114" s="90">
        <f t="shared" si="7"/>
        <v>0</v>
      </c>
      <c r="F114" s="90">
        <v>0.87</v>
      </c>
      <c r="G114" s="90">
        <v>0.87</v>
      </c>
      <c r="H114" s="90">
        <v>0.87</v>
      </c>
    </row>
    <row r="115" spans="1:8" x14ac:dyDescent="0.25">
      <c r="A115" s="5" t="s">
        <v>191</v>
      </c>
      <c r="B115" s="5" t="s">
        <v>205</v>
      </c>
      <c r="C115" s="5" t="s">
        <v>338</v>
      </c>
      <c r="D115" s="90">
        <f t="shared" si="7"/>
        <v>0</v>
      </c>
      <c r="E115" s="90">
        <f t="shared" si="7"/>
        <v>0</v>
      </c>
      <c r="F115" s="90">
        <f t="shared" ref="F115:H123" si="8">IF($C5="Affected fraction",F5,IF(F5=1,1,F5*1.05))</f>
        <v>1</v>
      </c>
      <c r="G115" s="90">
        <f t="shared" si="8"/>
        <v>1</v>
      </c>
      <c r="H115" s="90">
        <f t="shared" si="8"/>
        <v>0</v>
      </c>
    </row>
    <row r="116" spans="1:8" x14ac:dyDescent="0.25">
      <c r="C116" s="5" t="s">
        <v>340</v>
      </c>
      <c r="D116" s="90">
        <f t="shared" si="7"/>
        <v>0</v>
      </c>
      <c r="E116" s="90">
        <f t="shared" si="7"/>
        <v>0</v>
      </c>
      <c r="F116" s="90">
        <f t="shared" si="8"/>
        <v>0</v>
      </c>
      <c r="G116" s="90">
        <f t="shared" si="8"/>
        <v>0</v>
      </c>
      <c r="H116" s="90">
        <f t="shared" si="8"/>
        <v>0</v>
      </c>
    </row>
    <row r="117" spans="1:8" x14ac:dyDescent="0.25">
      <c r="B117" s="5" t="s">
        <v>204</v>
      </c>
      <c r="C117" s="5" t="s">
        <v>338</v>
      </c>
      <c r="D117" s="90">
        <f t="shared" si="7"/>
        <v>0</v>
      </c>
      <c r="E117" s="90">
        <f t="shared" si="7"/>
        <v>0</v>
      </c>
      <c r="F117" s="90">
        <f t="shared" si="8"/>
        <v>1</v>
      </c>
      <c r="G117" s="90">
        <f t="shared" si="8"/>
        <v>1</v>
      </c>
      <c r="H117" s="90">
        <f t="shared" si="8"/>
        <v>0</v>
      </c>
    </row>
    <row r="118" spans="1:8" x14ac:dyDescent="0.25">
      <c r="C118" s="5" t="s">
        <v>340</v>
      </c>
      <c r="D118" s="90">
        <f t="shared" si="7"/>
        <v>0</v>
      </c>
      <c r="E118" s="90">
        <f t="shared" si="7"/>
        <v>0</v>
      </c>
      <c r="F118" s="90">
        <f t="shared" si="8"/>
        <v>0</v>
      </c>
      <c r="G118" s="90">
        <f t="shared" si="8"/>
        <v>0</v>
      </c>
      <c r="H118" s="90">
        <f t="shared" si="8"/>
        <v>0</v>
      </c>
    </row>
    <row r="119" spans="1:8" x14ac:dyDescent="0.25">
      <c r="A119" s="5" t="s">
        <v>184</v>
      </c>
      <c r="B119" s="5" t="s">
        <v>205</v>
      </c>
      <c r="C119" s="5" t="s">
        <v>338</v>
      </c>
      <c r="D119" s="90">
        <f t="shared" si="7"/>
        <v>0</v>
      </c>
      <c r="E119" s="90">
        <f t="shared" si="7"/>
        <v>0</v>
      </c>
      <c r="F119" s="90">
        <f t="shared" si="8"/>
        <v>1</v>
      </c>
      <c r="G119" s="90">
        <f t="shared" si="8"/>
        <v>1</v>
      </c>
      <c r="H119" s="90">
        <f t="shared" si="8"/>
        <v>0</v>
      </c>
    </row>
    <row r="120" spans="1:8" x14ac:dyDescent="0.25">
      <c r="C120" s="5" t="s">
        <v>340</v>
      </c>
      <c r="D120" s="90">
        <f t="shared" si="7"/>
        <v>0</v>
      </c>
      <c r="E120" s="90">
        <f t="shared" si="7"/>
        <v>0</v>
      </c>
      <c r="F120" s="90">
        <f t="shared" si="8"/>
        <v>0</v>
      </c>
      <c r="G120" s="90">
        <f t="shared" si="8"/>
        <v>0</v>
      </c>
      <c r="H120" s="90">
        <f t="shared" si="8"/>
        <v>0</v>
      </c>
    </row>
    <row r="121" spans="1:8" x14ac:dyDescent="0.25">
      <c r="B121" s="5" t="s">
        <v>204</v>
      </c>
      <c r="C121" s="5" t="s">
        <v>338</v>
      </c>
      <c r="D121" s="90">
        <f t="shared" si="7"/>
        <v>0</v>
      </c>
      <c r="E121" s="90">
        <f t="shared" si="7"/>
        <v>0</v>
      </c>
      <c r="F121" s="90">
        <f t="shared" si="8"/>
        <v>1</v>
      </c>
      <c r="G121" s="90">
        <f t="shared" si="8"/>
        <v>1</v>
      </c>
      <c r="H121" s="90">
        <f t="shared" si="8"/>
        <v>0</v>
      </c>
    </row>
    <row r="122" spans="1:8" x14ac:dyDescent="0.25">
      <c r="C122" s="5" t="s">
        <v>340</v>
      </c>
      <c r="D122" s="90">
        <f t="shared" si="7"/>
        <v>0</v>
      </c>
      <c r="E122" s="90">
        <f t="shared" si="7"/>
        <v>0</v>
      </c>
      <c r="F122" s="90">
        <f t="shared" si="8"/>
        <v>0</v>
      </c>
      <c r="G122" s="90">
        <f t="shared" si="8"/>
        <v>0</v>
      </c>
      <c r="H122" s="90">
        <f t="shared" si="8"/>
        <v>0</v>
      </c>
    </row>
    <row r="123" spans="1:8" x14ac:dyDescent="0.25">
      <c r="A123" s="5" t="s">
        <v>192</v>
      </c>
      <c r="B123" s="5" t="s">
        <v>205</v>
      </c>
      <c r="C123" s="5" t="s">
        <v>338</v>
      </c>
      <c r="D123" s="90">
        <f t="shared" si="7"/>
        <v>0</v>
      </c>
      <c r="E123" s="90">
        <f t="shared" si="7"/>
        <v>0</v>
      </c>
      <c r="F123" s="90">
        <f t="shared" si="8"/>
        <v>1</v>
      </c>
      <c r="G123" s="90">
        <f t="shared" si="8"/>
        <v>1</v>
      </c>
      <c r="H123" s="90">
        <f t="shared" si="8"/>
        <v>0</v>
      </c>
    </row>
    <row r="124" spans="1:8" x14ac:dyDescent="0.25">
      <c r="C124" s="5" t="s">
        <v>340</v>
      </c>
      <c r="D124" s="90">
        <f t="shared" si="7"/>
        <v>0</v>
      </c>
      <c r="E124" s="90">
        <f t="shared" si="7"/>
        <v>0</v>
      </c>
      <c r="F124" s="90">
        <v>0.86</v>
      </c>
      <c r="G124" s="90">
        <v>0.86</v>
      </c>
      <c r="H124" s="90">
        <f t="shared" ref="H124:H163" si="9">IF($C14="Affected fraction",H14,IF(H14=1,1,H14*1.05))</f>
        <v>0</v>
      </c>
    </row>
    <row r="125" spans="1:8" x14ac:dyDescent="0.25">
      <c r="B125" s="5" t="s">
        <v>204</v>
      </c>
      <c r="C125" s="5" t="s">
        <v>338</v>
      </c>
      <c r="D125" s="90">
        <f t="shared" si="7"/>
        <v>0</v>
      </c>
      <c r="E125" s="90">
        <f t="shared" si="7"/>
        <v>0</v>
      </c>
      <c r="F125" s="90">
        <f>IF($C15="Affected fraction",F15,IF(F15=1,1,F15*1.05))</f>
        <v>1</v>
      </c>
      <c r="G125" s="90">
        <f>IF($C15="Affected fraction",G15,IF(G15=1,1,G15*1.05))</f>
        <v>1</v>
      </c>
      <c r="H125" s="90">
        <f t="shared" si="9"/>
        <v>0</v>
      </c>
    </row>
    <row r="126" spans="1:8" x14ac:dyDescent="0.25">
      <c r="C126" s="5" t="s">
        <v>340</v>
      </c>
      <c r="D126" s="90">
        <f t="shared" si="7"/>
        <v>0</v>
      </c>
      <c r="E126" s="90">
        <f t="shared" si="7"/>
        <v>0</v>
      </c>
      <c r="F126" s="90">
        <v>0.93</v>
      </c>
      <c r="G126" s="90">
        <v>0.93</v>
      </c>
      <c r="H126" s="90">
        <f t="shared" si="9"/>
        <v>0</v>
      </c>
    </row>
    <row r="127" spans="1:8" x14ac:dyDescent="0.25">
      <c r="A127" s="5" t="s">
        <v>169</v>
      </c>
      <c r="B127" s="5" t="s">
        <v>205</v>
      </c>
      <c r="C127" s="5" t="s">
        <v>338</v>
      </c>
      <c r="D127" s="90">
        <f t="shared" si="7"/>
        <v>0</v>
      </c>
      <c r="E127" s="90">
        <f t="shared" si="7"/>
        <v>0</v>
      </c>
      <c r="F127" s="90">
        <f t="shared" ref="F127:G146" si="10">IF($C17="Affected fraction",F17,IF(F17=1,1,F17*1.05))</f>
        <v>1</v>
      </c>
      <c r="G127" s="90">
        <f t="shared" si="10"/>
        <v>1</v>
      </c>
      <c r="H127" s="90">
        <f t="shared" si="9"/>
        <v>1</v>
      </c>
    </row>
    <row r="128" spans="1:8" x14ac:dyDescent="0.25">
      <c r="C128" s="5" t="s">
        <v>340</v>
      </c>
      <c r="D128" s="90">
        <f t="shared" si="7"/>
        <v>0</v>
      </c>
      <c r="E128" s="90">
        <f t="shared" si="7"/>
        <v>0</v>
      </c>
      <c r="F128" s="90">
        <f t="shared" si="10"/>
        <v>0.33600000000000002</v>
      </c>
      <c r="G128" s="90">
        <f t="shared" si="10"/>
        <v>0.33600000000000002</v>
      </c>
      <c r="H128" s="90">
        <f t="shared" si="9"/>
        <v>0.33600000000000002</v>
      </c>
    </row>
    <row r="129" spans="1:8" x14ac:dyDescent="0.25">
      <c r="B129" s="5" t="s">
        <v>204</v>
      </c>
      <c r="C129" s="5" t="s">
        <v>338</v>
      </c>
      <c r="D129" s="90">
        <f t="shared" si="7"/>
        <v>0</v>
      </c>
      <c r="E129" s="90">
        <f t="shared" si="7"/>
        <v>0</v>
      </c>
      <c r="F129" s="90">
        <f t="shared" si="10"/>
        <v>1</v>
      </c>
      <c r="G129" s="90">
        <f t="shared" si="10"/>
        <v>1</v>
      </c>
      <c r="H129" s="90">
        <f t="shared" si="9"/>
        <v>1</v>
      </c>
    </row>
    <row r="130" spans="1:8" x14ac:dyDescent="0.25">
      <c r="C130" s="5" t="s">
        <v>340</v>
      </c>
      <c r="D130" s="90">
        <f t="shared" si="7"/>
        <v>0</v>
      </c>
      <c r="E130" s="90">
        <f t="shared" si="7"/>
        <v>0</v>
      </c>
      <c r="F130" s="90">
        <f t="shared" si="10"/>
        <v>0.42000000000000004</v>
      </c>
      <c r="G130" s="90">
        <f t="shared" si="10"/>
        <v>0.42000000000000004</v>
      </c>
      <c r="H130" s="90">
        <f t="shared" si="9"/>
        <v>0.42000000000000004</v>
      </c>
    </row>
    <row r="131" spans="1:8" x14ac:dyDescent="0.25">
      <c r="A131" s="5" t="s">
        <v>174</v>
      </c>
      <c r="B131" s="5" t="s">
        <v>74</v>
      </c>
      <c r="C131" s="5" t="s">
        <v>338</v>
      </c>
      <c r="D131" s="90">
        <f t="shared" si="7"/>
        <v>1</v>
      </c>
      <c r="E131" s="90">
        <f t="shared" si="7"/>
        <v>0</v>
      </c>
      <c r="F131" s="90">
        <f t="shared" si="10"/>
        <v>0</v>
      </c>
      <c r="G131" s="90">
        <f t="shared" si="10"/>
        <v>0</v>
      </c>
      <c r="H131" s="90">
        <f t="shared" si="9"/>
        <v>0</v>
      </c>
    </row>
    <row r="132" spans="1:8" x14ac:dyDescent="0.25">
      <c r="C132" s="5" t="s">
        <v>339</v>
      </c>
      <c r="D132" s="90">
        <f t="shared" si="7"/>
        <v>0.13650000000000001</v>
      </c>
      <c r="E132" s="90">
        <f t="shared" si="7"/>
        <v>0</v>
      </c>
      <c r="F132" s="90">
        <f t="shared" si="10"/>
        <v>0</v>
      </c>
      <c r="G132" s="90">
        <f t="shared" si="10"/>
        <v>0</v>
      </c>
      <c r="H132" s="90">
        <f t="shared" si="9"/>
        <v>0</v>
      </c>
    </row>
    <row r="133" spans="1:8" x14ac:dyDescent="0.25">
      <c r="A133" s="5" t="s">
        <v>172</v>
      </c>
      <c r="B133" s="5" t="s">
        <v>74</v>
      </c>
      <c r="C133" s="5" t="s">
        <v>338</v>
      </c>
      <c r="D133" s="90">
        <f t="shared" ref="D133:E152" si="11">IF($C23="Affected fraction",D23,IF(D23=1,1,D23*1.05))</f>
        <v>1</v>
      </c>
      <c r="E133" s="90">
        <f t="shared" si="11"/>
        <v>0</v>
      </c>
      <c r="F133" s="90">
        <f t="shared" si="10"/>
        <v>0</v>
      </c>
      <c r="G133" s="90">
        <f t="shared" si="10"/>
        <v>0</v>
      </c>
      <c r="H133" s="90">
        <f t="shared" si="9"/>
        <v>0</v>
      </c>
    </row>
    <row r="134" spans="1:8" x14ac:dyDescent="0.25">
      <c r="C134" s="5" t="s">
        <v>339</v>
      </c>
      <c r="D134" s="90">
        <f t="shared" si="11"/>
        <v>0.13650000000000001</v>
      </c>
      <c r="E134" s="90">
        <f t="shared" si="11"/>
        <v>0</v>
      </c>
      <c r="F134" s="90">
        <f t="shared" si="10"/>
        <v>0</v>
      </c>
      <c r="G134" s="90">
        <f t="shared" si="10"/>
        <v>0</v>
      </c>
      <c r="H134" s="90">
        <f t="shared" si="9"/>
        <v>0</v>
      </c>
    </row>
    <row r="135" spans="1:8" x14ac:dyDescent="0.25">
      <c r="A135" s="5" t="s">
        <v>173</v>
      </c>
      <c r="B135" s="5" t="s">
        <v>74</v>
      </c>
      <c r="C135" s="5" t="s">
        <v>338</v>
      </c>
      <c r="D135" s="90">
        <f t="shared" si="11"/>
        <v>1</v>
      </c>
      <c r="E135" s="90">
        <f t="shared" si="11"/>
        <v>0</v>
      </c>
      <c r="F135" s="90">
        <f t="shared" si="10"/>
        <v>0</v>
      </c>
      <c r="G135" s="90">
        <f t="shared" si="10"/>
        <v>0</v>
      </c>
      <c r="H135" s="90">
        <f t="shared" si="9"/>
        <v>0</v>
      </c>
    </row>
    <row r="136" spans="1:8" x14ac:dyDescent="0.25">
      <c r="C136" s="5" t="s">
        <v>339</v>
      </c>
      <c r="D136" s="90">
        <f t="shared" si="11"/>
        <v>0.13650000000000001</v>
      </c>
      <c r="E136" s="90">
        <f t="shared" si="11"/>
        <v>0</v>
      </c>
      <c r="F136" s="90">
        <f t="shared" si="10"/>
        <v>0</v>
      </c>
      <c r="G136" s="90">
        <f t="shared" si="10"/>
        <v>0</v>
      </c>
      <c r="H136" s="90">
        <f t="shared" si="9"/>
        <v>0</v>
      </c>
    </row>
    <row r="137" spans="1:8" x14ac:dyDescent="0.25">
      <c r="A137" s="5" t="s">
        <v>197</v>
      </c>
      <c r="B137" s="5" t="s">
        <v>81</v>
      </c>
      <c r="C137" s="5" t="s">
        <v>338</v>
      </c>
      <c r="D137" s="90">
        <f t="shared" si="11"/>
        <v>1</v>
      </c>
      <c r="E137" s="90">
        <f t="shared" si="11"/>
        <v>1</v>
      </c>
      <c r="F137" s="90">
        <f t="shared" si="10"/>
        <v>1</v>
      </c>
      <c r="G137" s="90">
        <f t="shared" si="10"/>
        <v>1</v>
      </c>
      <c r="H137" s="90">
        <f t="shared" si="9"/>
        <v>1</v>
      </c>
    </row>
    <row r="138" spans="1:8" x14ac:dyDescent="0.25">
      <c r="C138" s="5" t="s">
        <v>339</v>
      </c>
      <c r="D138" s="90">
        <f t="shared" si="11"/>
        <v>0</v>
      </c>
      <c r="E138" s="90">
        <f t="shared" si="11"/>
        <v>0</v>
      </c>
      <c r="F138" s="90">
        <f t="shared" si="10"/>
        <v>0</v>
      </c>
      <c r="G138" s="90">
        <f t="shared" si="10"/>
        <v>0</v>
      </c>
      <c r="H138" s="90">
        <f t="shared" si="9"/>
        <v>0</v>
      </c>
    </row>
    <row r="139" spans="1:8" x14ac:dyDescent="0.25">
      <c r="C139" s="5" t="s">
        <v>340</v>
      </c>
      <c r="D139" s="90">
        <f t="shared" si="11"/>
        <v>0</v>
      </c>
      <c r="E139" s="90">
        <f t="shared" si="11"/>
        <v>0</v>
      </c>
      <c r="F139" s="90">
        <f t="shared" si="10"/>
        <v>0</v>
      </c>
      <c r="G139" s="90">
        <f t="shared" si="10"/>
        <v>0</v>
      </c>
      <c r="H139" s="90">
        <f t="shared" si="9"/>
        <v>0</v>
      </c>
    </row>
    <row r="140" spans="1:8" x14ac:dyDescent="0.25">
      <c r="A140" s="5" t="s">
        <v>198</v>
      </c>
      <c r="B140" s="5" t="s">
        <v>81</v>
      </c>
      <c r="C140" s="5" t="s">
        <v>338</v>
      </c>
      <c r="D140" s="90">
        <f t="shared" si="11"/>
        <v>1</v>
      </c>
      <c r="E140" s="90">
        <f t="shared" si="11"/>
        <v>1</v>
      </c>
      <c r="F140" s="90">
        <f t="shared" si="10"/>
        <v>1</v>
      </c>
      <c r="G140" s="90">
        <f t="shared" si="10"/>
        <v>1</v>
      </c>
      <c r="H140" s="90">
        <f t="shared" si="9"/>
        <v>1</v>
      </c>
    </row>
    <row r="141" spans="1:8" x14ac:dyDescent="0.25">
      <c r="C141" s="5" t="s">
        <v>339</v>
      </c>
      <c r="D141" s="90">
        <f t="shared" si="11"/>
        <v>0</v>
      </c>
      <c r="E141" s="90">
        <f t="shared" si="11"/>
        <v>0</v>
      </c>
      <c r="F141" s="90">
        <f t="shared" si="10"/>
        <v>0</v>
      </c>
      <c r="G141" s="90">
        <f t="shared" si="10"/>
        <v>0</v>
      </c>
      <c r="H141" s="90">
        <f t="shared" si="9"/>
        <v>0</v>
      </c>
    </row>
    <row r="142" spans="1:8" x14ac:dyDescent="0.25">
      <c r="C142" s="5" t="s">
        <v>340</v>
      </c>
      <c r="D142" s="90">
        <f t="shared" si="11"/>
        <v>0</v>
      </c>
      <c r="E142" s="90">
        <f t="shared" si="11"/>
        <v>0</v>
      </c>
      <c r="F142" s="90">
        <f t="shared" si="10"/>
        <v>0</v>
      </c>
      <c r="G142" s="90">
        <f t="shared" si="10"/>
        <v>0</v>
      </c>
      <c r="H142" s="90">
        <f t="shared" si="9"/>
        <v>0</v>
      </c>
    </row>
    <row r="143" spans="1:8" x14ac:dyDescent="0.25">
      <c r="A143" s="5" t="s">
        <v>196</v>
      </c>
      <c r="B143" s="5" t="s">
        <v>81</v>
      </c>
      <c r="C143" s="5" t="s">
        <v>338</v>
      </c>
      <c r="D143" s="90">
        <f t="shared" si="11"/>
        <v>1</v>
      </c>
      <c r="E143" s="90">
        <f t="shared" si="11"/>
        <v>1</v>
      </c>
      <c r="F143" s="90">
        <f t="shared" si="10"/>
        <v>1</v>
      </c>
      <c r="G143" s="90">
        <f t="shared" si="10"/>
        <v>1</v>
      </c>
      <c r="H143" s="90">
        <f t="shared" si="9"/>
        <v>1</v>
      </c>
    </row>
    <row r="144" spans="1:8" x14ac:dyDescent="0.25">
      <c r="C144" s="5" t="s">
        <v>339</v>
      </c>
      <c r="D144" s="90">
        <f t="shared" si="11"/>
        <v>0</v>
      </c>
      <c r="E144" s="90">
        <f t="shared" si="11"/>
        <v>0</v>
      </c>
      <c r="F144" s="90">
        <f t="shared" si="10"/>
        <v>0</v>
      </c>
      <c r="G144" s="90">
        <f t="shared" si="10"/>
        <v>0</v>
      </c>
      <c r="H144" s="90">
        <f t="shared" si="9"/>
        <v>0</v>
      </c>
    </row>
    <row r="145" spans="1:8" x14ac:dyDescent="0.25">
      <c r="C145" s="5" t="s">
        <v>340</v>
      </c>
      <c r="D145" s="90">
        <f t="shared" si="11"/>
        <v>0</v>
      </c>
      <c r="E145" s="90">
        <f t="shared" si="11"/>
        <v>0</v>
      </c>
      <c r="F145" s="90">
        <f t="shared" si="10"/>
        <v>0</v>
      </c>
      <c r="G145" s="90">
        <f t="shared" si="10"/>
        <v>0</v>
      </c>
      <c r="H145" s="90">
        <f t="shared" si="9"/>
        <v>0</v>
      </c>
    </row>
    <row r="146" spans="1:8" x14ac:dyDescent="0.25">
      <c r="A146" s="5" t="s">
        <v>195</v>
      </c>
      <c r="B146" s="5" t="s">
        <v>81</v>
      </c>
      <c r="C146" s="5" t="s">
        <v>338</v>
      </c>
      <c r="D146" s="90">
        <f t="shared" si="11"/>
        <v>1</v>
      </c>
      <c r="E146" s="90">
        <f t="shared" si="11"/>
        <v>1</v>
      </c>
      <c r="F146" s="90">
        <f t="shared" si="10"/>
        <v>1</v>
      </c>
      <c r="G146" s="90">
        <f t="shared" si="10"/>
        <v>1</v>
      </c>
      <c r="H146" s="90">
        <f t="shared" si="9"/>
        <v>1</v>
      </c>
    </row>
    <row r="147" spans="1:8" x14ac:dyDescent="0.25">
      <c r="C147" s="5" t="s">
        <v>339</v>
      </c>
      <c r="D147" s="90">
        <f t="shared" si="11"/>
        <v>0</v>
      </c>
      <c r="E147" s="90">
        <f t="shared" si="11"/>
        <v>0</v>
      </c>
      <c r="F147" s="90">
        <f t="shared" ref="F147:G166" si="12">IF($C37="Affected fraction",F37,IF(F37=1,1,F37*1.05))</f>
        <v>0</v>
      </c>
      <c r="G147" s="90">
        <f t="shared" si="12"/>
        <v>0</v>
      </c>
      <c r="H147" s="90">
        <f t="shared" si="9"/>
        <v>0</v>
      </c>
    </row>
    <row r="148" spans="1:8" x14ac:dyDescent="0.25">
      <c r="C148" s="5" t="s">
        <v>340</v>
      </c>
      <c r="D148" s="90">
        <f t="shared" si="11"/>
        <v>0</v>
      </c>
      <c r="E148" s="90">
        <f t="shared" si="11"/>
        <v>0</v>
      </c>
      <c r="F148" s="90">
        <f t="shared" si="12"/>
        <v>0</v>
      </c>
      <c r="G148" s="90">
        <f t="shared" si="12"/>
        <v>0</v>
      </c>
      <c r="H148" s="90">
        <f t="shared" si="9"/>
        <v>0</v>
      </c>
    </row>
    <row r="149" spans="1:8" x14ac:dyDescent="0.25">
      <c r="A149" s="5" t="s">
        <v>194</v>
      </c>
      <c r="B149" s="5" t="s">
        <v>81</v>
      </c>
      <c r="C149" s="5" t="s">
        <v>338</v>
      </c>
      <c r="D149" s="90">
        <f t="shared" si="11"/>
        <v>1</v>
      </c>
      <c r="E149" s="90">
        <f t="shared" si="11"/>
        <v>1</v>
      </c>
      <c r="F149" s="90">
        <f t="shared" si="12"/>
        <v>1</v>
      </c>
      <c r="G149" s="90">
        <f t="shared" si="12"/>
        <v>1</v>
      </c>
      <c r="H149" s="90">
        <f t="shared" si="9"/>
        <v>1</v>
      </c>
    </row>
    <row r="150" spans="1:8" x14ac:dyDescent="0.25">
      <c r="C150" s="5" t="s">
        <v>339</v>
      </c>
      <c r="D150" s="90">
        <f t="shared" si="11"/>
        <v>0</v>
      </c>
      <c r="E150" s="90">
        <f t="shared" si="11"/>
        <v>0</v>
      </c>
      <c r="F150" s="90">
        <f t="shared" si="12"/>
        <v>0</v>
      </c>
      <c r="G150" s="90">
        <f t="shared" si="12"/>
        <v>0</v>
      </c>
      <c r="H150" s="90">
        <f t="shared" si="9"/>
        <v>0</v>
      </c>
    </row>
    <row r="151" spans="1:8" x14ac:dyDescent="0.25">
      <c r="C151" s="5" t="s">
        <v>340</v>
      </c>
      <c r="D151" s="90">
        <f t="shared" si="11"/>
        <v>0</v>
      </c>
      <c r="E151" s="90">
        <f t="shared" si="11"/>
        <v>0</v>
      </c>
      <c r="F151" s="90">
        <f t="shared" si="12"/>
        <v>0</v>
      </c>
      <c r="G151" s="90">
        <f t="shared" si="12"/>
        <v>0</v>
      </c>
      <c r="H151" s="90">
        <f t="shared" si="9"/>
        <v>0</v>
      </c>
    </row>
    <row r="152" spans="1:8" x14ac:dyDescent="0.25">
      <c r="A152" s="5" t="s">
        <v>200</v>
      </c>
      <c r="B152" s="5" t="s">
        <v>81</v>
      </c>
      <c r="C152" s="5" t="s">
        <v>338</v>
      </c>
      <c r="D152" s="90">
        <f t="shared" si="11"/>
        <v>0</v>
      </c>
      <c r="E152" s="90">
        <f t="shared" si="11"/>
        <v>1</v>
      </c>
      <c r="F152" s="90">
        <f t="shared" si="12"/>
        <v>1</v>
      </c>
      <c r="G152" s="90">
        <f t="shared" si="12"/>
        <v>1</v>
      </c>
      <c r="H152" s="90">
        <f t="shared" si="9"/>
        <v>1</v>
      </c>
    </row>
    <row r="153" spans="1:8" x14ac:dyDescent="0.25">
      <c r="C153" s="5" t="s">
        <v>339</v>
      </c>
      <c r="D153" s="90">
        <f t="shared" ref="D153:E172" si="13">IF($C43="Affected fraction",D43,IF(D43=1,1,D43*1.05))</f>
        <v>0.99749999999999994</v>
      </c>
      <c r="E153" s="90">
        <f t="shared" si="13"/>
        <v>0.99749999999999994</v>
      </c>
      <c r="F153" s="90">
        <f t="shared" si="12"/>
        <v>0.99749999999999994</v>
      </c>
      <c r="G153" s="90">
        <f t="shared" si="12"/>
        <v>0.99749999999999994</v>
      </c>
      <c r="H153" s="90">
        <f t="shared" si="9"/>
        <v>0.99749999999999994</v>
      </c>
    </row>
    <row r="154" spans="1:8" x14ac:dyDescent="0.25">
      <c r="C154" s="5" t="s">
        <v>340</v>
      </c>
      <c r="D154" s="90">
        <f t="shared" si="13"/>
        <v>0.95550000000000013</v>
      </c>
      <c r="E154" s="90">
        <f t="shared" si="13"/>
        <v>0.95550000000000013</v>
      </c>
      <c r="F154" s="90">
        <f t="shared" si="12"/>
        <v>0.95550000000000013</v>
      </c>
      <c r="G154" s="90">
        <f t="shared" si="12"/>
        <v>0.95550000000000013</v>
      </c>
      <c r="H154" s="90">
        <f t="shared" si="9"/>
        <v>0.95550000000000013</v>
      </c>
    </row>
    <row r="155" spans="1:8" x14ac:dyDescent="0.25">
      <c r="B155" s="5" t="s">
        <v>82</v>
      </c>
      <c r="C155" s="5" t="s">
        <v>338</v>
      </c>
      <c r="D155" s="90">
        <f t="shared" si="13"/>
        <v>0.3</v>
      </c>
      <c r="E155" s="90">
        <f t="shared" si="13"/>
        <v>0.3</v>
      </c>
      <c r="F155" s="90">
        <f t="shared" si="12"/>
        <v>0.3</v>
      </c>
      <c r="G155" s="90">
        <f t="shared" si="12"/>
        <v>0.3</v>
      </c>
      <c r="H155" s="90">
        <f t="shared" si="9"/>
        <v>0.3</v>
      </c>
    </row>
    <row r="156" spans="1:8" x14ac:dyDescent="0.25">
      <c r="C156" s="5" t="s">
        <v>339</v>
      </c>
      <c r="D156" s="90">
        <f t="shared" si="13"/>
        <v>0</v>
      </c>
      <c r="E156" s="90">
        <f t="shared" si="13"/>
        <v>0</v>
      </c>
      <c r="F156" s="90">
        <f t="shared" si="12"/>
        <v>0</v>
      </c>
      <c r="G156" s="90">
        <f t="shared" si="12"/>
        <v>0</v>
      </c>
      <c r="H156" s="90">
        <f t="shared" si="9"/>
        <v>0</v>
      </c>
    </row>
    <row r="157" spans="1:8" x14ac:dyDescent="0.25">
      <c r="C157" s="5" t="s">
        <v>340</v>
      </c>
      <c r="D157" s="90">
        <f t="shared" si="13"/>
        <v>0</v>
      </c>
      <c r="E157" s="90">
        <f t="shared" si="13"/>
        <v>0</v>
      </c>
      <c r="F157" s="90">
        <f t="shared" si="12"/>
        <v>0</v>
      </c>
      <c r="G157" s="90">
        <f t="shared" si="12"/>
        <v>0</v>
      </c>
      <c r="H157" s="90">
        <f t="shared" si="9"/>
        <v>0</v>
      </c>
    </row>
    <row r="158" spans="1:8" x14ac:dyDescent="0.25">
      <c r="A158" s="5" t="s">
        <v>190</v>
      </c>
      <c r="B158" s="5" t="s">
        <v>81</v>
      </c>
      <c r="C158" s="5" t="s">
        <v>338</v>
      </c>
      <c r="D158" s="90">
        <f t="shared" si="13"/>
        <v>0.88</v>
      </c>
      <c r="E158" s="90">
        <f t="shared" si="13"/>
        <v>0.88</v>
      </c>
      <c r="F158" s="90">
        <f t="shared" si="12"/>
        <v>0.88</v>
      </c>
      <c r="G158" s="90">
        <f t="shared" si="12"/>
        <v>0.88</v>
      </c>
      <c r="H158" s="90">
        <f t="shared" si="9"/>
        <v>0.88</v>
      </c>
    </row>
    <row r="159" spans="1:8" x14ac:dyDescent="0.25">
      <c r="C159" s="5" t="s">
        <v>339</v>
      </c>
      <c r="D159" s="90">
        <f t="shared" si="13"/>
        <v>0.8232954545454545</v>
      </c>
      <c r="E159" s="90">
        <f t="shared" si="13"/>
        <v>0.8232954545454545</v>
      </c>
      <c r="F159" s="90">
        <f t="shared" si="12"/>
        <v>0.8232954545454545</v>
      </c>
      <c r="G159" s="90">
        <f t="shared" si="12"/>
        <v>0.8232954545454545</v>
      </c>
      <c r="H159" s="90">
        <f t="shared" si="9"/>
        <v>0.8232954545454545</v>
      </c>
    </row>
    <row r="160" spans="1:8" x14ac:dyDescent="0.25">
      <c r="A160" s="5" t="s">
        <v>199</v>
      </c>
      <c r="B160" s="5" t="s">
        <v>81</v>
      </c>
      <c r="C160" s="5" t="s">
        <v>338</v>
      </c>
      <c r="D160" s="90">
        <f t="shared" si="13"/>
        <v>1</v>
      </c>
      <c r="E160" s="90">
        <f t="shared" si="13"/>
        <v>1</v>
      </c>
      <c r="F160" s="90">
        <f t="shared" si="12"/>
        <v>1</v>
      </c>
      <c r="G160" s="90">
        <f t="shared" si="12"/>
        <v>1</v>
      </c>
      <c r="H160" s="90">
        <f t="shared" si="9"/>
        <v>1</v>
      </c>
    </row>
    <row r="161" spans="1:8" x14ac:dyDescent="0.25">
      <c r="C161" s="5" t="s">
        <v>339</v>
      </c>
      <c r="D161" s="90">
        <f t="shared" si="13"/>
        <v>0.79800000000000004</v>
      </c>
      <c r="E161" s="90">
        <f t="shared" si="13"/>
        <v>0.79800000000000004</v>
      </c>
      <c r="F161" s="90">
        <f t="shared" si="12"/>
        <v>0.79800000000000004</v>
      </c>
      <c r="G161" s="90">
        <f t="shared" si="12"/>
        <v>0.79800000000000004</v>
      </c>
      <c r="H161" s="90">
        <f t="shared" si="9"/>
        <v>0.79800000000000004</v>
      </c>
    </row>
    <row r="162" spans="1:8" x14ac:dyDescent="0.25">
      <c r="A162" s="5" t="s">
        <v>183</v>
      </c>
      <c r="B162" s="5" t="s">
        <v>72</v>
      </c>
      <c r="C162" s="5" t="s">
        <v>338</v>
      </c>
      <c r="D162" s="90">
        <f t="shared" si="13"/>
        <v>0.57999999999999996</v>
      </c>
      <c r="E162" s="90">
        <f t="shared" si="13"/>
        <v>0.57999999999999996</v>
      </c>
      <c r="F162" s="90">
        <f t="shared" si="12"/>
        <v>0</v>
      </c>
      <c r="G162" s="90">
        <f t="shared" si="12"/>
        <v>0</v>
      </c>
      <c r="H162" s="90">
        <f t="shared" si="9"/>
        <v>0</v>
      </c>
    </row>
    <row r="163" spans="1:8" x14ac:dyDescent="0.25">
      <c r="C163" s="5" t="s">
        <v>339</v>
      </c>
      <c r="D163" s="90">
        <f t="shared" si="13"/>
        <v>0.53550000000000009</v>
      </c>
      <c r="E163" s="90">
        <f t="shared" si="13"/>
        <v>0.53550000000000009</v>
      </c>
      <c r="F163" s="90">
        <f t="shared" si="12"/>
        <v>0</v>
      </c>
      <c r="G163" s="90">
        <f t="shared" si="12"/>
        <v>0</v>
      </c>
      <c r="H163" s="90">
        <f t="shared" si="9"/>
        <v>0</v>
      </c>
    </row>
  </sheetData>
  <sheetProtection algorithmName="SHA-512" hashValue="S17bbKhZEnsAN7/34ofCwjNMghXzKja0+LzOrpQVx+Vbu8Kro6Ow3Xz/reSwONgxDcH3QFdIneVJnYT6jAaajQ==" saltValue="QbYZp8bM2doOhTFWWdYQ4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zoomScale="80" zoomScaleNormal="80" workbookViewId="0">
      <selection activeCell="D12" sqref="D12"/>
    </sheetView>
  </sheetViews>
  <sheetFormatPr defaultColWidth="12.81640625" defaultRowHeight="12.5" x14ac:dyDescent="0.25"/>
  <cols>
    <col min="1" max="1" width="28" style="8" customWidth="1"/>
    <col min="2" max="2" width="27.453125" style="8" customWidth="1"/>
    <col min="3" max="3" width="23.6328125" style="8" customWidth="1"/>
    <col min="4" max="7" width="17.1796875" style="8" customWidth="1"/>
    <col min="8" max="8" width="12.81640625" style="8" customWidth="1"/>
    <col min="9" max="16384" width="12.81640625" style="8"/>
  </cols>
  <sheetData>
    <row r="1" spans="1:8" ht="13" customHeight="1" x14ac:dyDescent="0.3">
      <c r="A1" s="1" t="s">
        <v>156</v>
      </c>
      <c r="B1" s="1" t="s">
        <v>336</v>
      </c>
      <c r="C1" s="1"/>
      <c r="D1" s="4" t="s">
        <v>112</v>
      </c>
      <c r="E1" s="4" t="s">
        <v>113</v>
      </c>
      <c r="F1" s="4" t="s">
        <v>114</v>
      </c>
      <c r="G1" s="4" t="s">
        <v>115</v>
      </c>
      <c r="H1" s="4"/>
    </row>
    <row r="2" spans="1:8" x14ac:dyDescent="0.25">
      <c r="A2" s="3" t="s">
        <v>168</v>
      </c>
      <c r="B2" s="8" t="s">
        <v>94</v>
      </c>
      <c r="C2" s="3" t="s">
        <v>338</v>
      </c>
      <c r="D2" s="90">
        <v>1</v>
      </c>
      <c r="E2" s="90">
        <v>1</v>
      </c>
      <c r="F2" s="90">
        <v>1</v>
      </c>
      <c r="G2" s="90">
        <v>1</v>
      </c>
      <c r="H2" s="5"/>
    </row>
    <row r="3" spans="1:8" x14ac:dyDescent="0.25">
      <c r="C3" s="8" t="s">
        <v>339</v>
      </c>
      <c r="D3" s="90">
        <v>0.17</v>
      </c>
      <c r="E3" s="90">
        <v>0.17</v>
      </c>
      <c r="F3" s="90">
        <v>0.17</v>
      </c>
      <c r="G3" s="90">
        <v>0.17</v>
      </c>
      <c r="H3" s="3"/>
    </row>
    <row r="4" spans="1:8" x14ac:dyDescent="0.25">
      <c r="A4" s="3" t="s">
        <v>187</v>
      </c>
      <c r="B4" s="8" t="s">
        <v>94</v>
      </c>
      <c r="C4" s="3" t="s">
        <v>338</v>
      </c>
      <c r="D4" s="90">
        <v>1</v>
      </c>
      <c r="E4" s="90">
        <v>1</v>
      </c>
      <c r="F4" s="90">
        <v>1</v>
      </c>
      <c r="G4" s="90">
        <v>1</v>
      </c>
      <c r="H4" s="3"/>
    </row>
    <row r="5" spans="1:8" x14ac:dyDescent="0.25">
      <c r="C5" s="8" t="s">
        <v>339</v>
      </c>
      <c r="D5" s="90">
        <v>0.59</v>
      </c>
      <c r="E5" s="90">
        <v>0.59</v>
      </c>
      <c r="F5" s="90">
        <v>0.59</v>
      </c>
      <c r="G5" s="90">
        <v>0.59</v>
      </c>
      <c r="H5" s="5"/>
    </row>
    <row r="6" spans="1:8" x14ac:dyDescent="0.25">
      <c r="A6" s="3" t="s">
        <v>186</v>
      </c>
      <c r="B6" s="8" t="s">
        <v>94</v>
      </c>
      <c r="C6" s="3" t="s">
        <v>338</v>
      </c>
      <c r="D6" s="90">
        <v>1</v>
      </c>
      <c r="E6" s="90">
        <v>1</v>
      </c>
      <c r="F6" s="90">
        <v>1</v>
      </c>
      <c r="G6" s="90">
        <v>1</v>
      </c>
      <c r="H6" s="5"/>
    </row>
    <row r="7" spans="1:8" x14ac:dyDescent="0.25">
      <c r="C7" s="8" t="s">
        <v>339</v>
      </c>
      <c r="D7" s="90">
        <v>0.6</v>
      </c>
      <c r="E7" s="90">
        <v>0.6</v>
      </c>
      <c r="F7" s="90">
        <v>0.6</v>
      </c>
      <c r="G7" s="90">
        <v>0.6</v>
      </c>
      <c r="H7" s="3"/>
    </row>
    <row r="9" spans="1:8" s="92" customFormat="1" ht="13" customHeight="1" x14ac:dyDescent="0.3">
      <c r="A9" s="92" t="s">
        <v>330</v>
      </c>
    </row>
    <row r="10" spans="1:8" ht="13" customHeight="1" x14ac:dyDescent="0.3">
      <c r="A10" s="1" t="s">
        <v>156</v>
      </c>
      <c r="B10" s="1" t="s">
        <v>336</v>
      </c>
      <c r="C10" s="1"/>
      <c r="D10" s="4" t="s">
        <v>112</v>
      </c>
      <c r="E10" s="4" t="s">
        <v>113</v>
      </c>
      <c r="F10" s="4" t="s">
        <v>114</v>
      </c>
      <c r="G10" s="4" t="s">
        <v>115</v>
      </c>
    </row>
    <row r="11" spans="1:8" x14ac:dyDescent="0.25">
      <c r="A11" s="3" t="s">
        <v>168</v>
      </c>
      <c r="B11" s="8" t="s">
        <v>94</v>
      </c>
      <c r="C11" s="3" t="s">
        <v>338</v>
      </c>
      <c r="D11" s="90">
        <f t="shared" ref="D11:G16" si="0">IF($C2="Affected fraction",D2,IF(D2=1,1,D2*0.9))</f>
        <v>1</v>
      </c>
      <c r="E11" s="90">
        <f t="shared" si="0"/>
        <v>1</v>
      </c>
      <c r="F11" s="90">
        <f t="shared" si="0"/>
        <v>1</v>
      </c>
      <c r="G11" s="90">
        <f t="shared" si="0"/>
        <v>1</v>
      </c>
    </row>
    <row r="12" spans="1:8" x14ac:dyDescent="0.25">
      <c r="C12" s="8" t="s">
        <v>339</v>
      </c>
      <c r="D12" s="90">
        <f t="shared" si="0"/>
        <v>0.15300000000000002</v>
      </c>
      <c r="E12" s="90">
        <f t="shared" si="0"/>
        <v>0.15300000000000002</v>
      </c>
      <c r="F12" s="90">
        <f t="shared" si="0"/>
        <v>0.15300000000000002</v>
      </c>
      <c r="G12" s="90">
        <f t="shared" si="0"/>
        <v>0.15300000000000002</v>
      </c>
    </row>
    <row r="13" spans="1:8" x14ac:dyDescent="0.25">
      <c r="A13" s="3" t="s">
        <v>187</v>
      </c>
      <c r="B13" s="8" t="s">
        <v>94</v>
      </c>
      <c r="C13" s="3" t="s">
        <v>338</v>
      </c>
      <c r="D13" s="90">
        <f t="shared" si="0"/>
        <v>1</v>
      </c>
      <c r="E13" s="90">
        <f t="shared" si="0"/>
        <v>1</v>
      </c>
      <c r="F13" s="90">
        <f t="shared" si="0"/>
        <v>1</v>
      </c>
      <c r="G13" s="90">
        <f t="shared" si="0"/>
        <v>1</v>
      </c>
    </row>
    <row r="14" spans="1:8" x14ac:dyDescent="0.25">
      <c r="C14" s="8" t="s">
        <v>339</v>
      </c>
      <c r="D14" s="90">
        <f t="shared" si="0"/>
        <v>0.53100000000000003</v>
      </c>
      <c r="E14" s="90">
        <f t="shared" si="0"/>
        <v>0.53100000000000003</v>
      </c>
      <c r="F14" s="90">
        <f t="shared" si="0"/>
        <v>0.53100000000000003</v>
      </c>
      <c r="G14" s="90">
        <f t="shared" si="0"/>
        <v>0.53100000000000003</v>
      </c>
    </row>
    <row r="15" spans="1:8" x14ac:dyDescent="0.25">
      <c r="A15" s="3" t="s">
        <v>186</v>
      </c>
      <c r="B15" s="8" t="s">
        <v>94</v>
      </c>
      <c r="C15" s="3" t="s">
        <v>338</v>
      </c>
      <c r="D15" s="90">
        <f t="shared" si="0"/>
        <v>1</v>
      </c>
      <c r="E15" s="90">
        <f t="shared" si="0"/>
        <v>1</v>
      </c>
      <c r="F15" s="90">
        <f t="shared" si="0"/>
        <v>1</v>
      </c>
      <c r="G15" s="90">
        <f t="shared" si="0"/>
        <v>1</v>
      </c>
    </row>
    <row r="16" spans="1:8" x14ac:dyDescent="0.25">
      <c r="C16" s="8" t="s">
        <v>339</v>
      </c>
      <c r="D16" s="90">
        <f t="shared" si="0"/>
        <v>0.54</v>
      </c>
      <c r="E16" s="90">
        <f t="shared" si="0"/>
        <v>0.54</v>
      </c>
      <c r="F16" s="90">
        <f t="shared" si="0"/>
        <v>0.54</v>
      </c>
      <c r="G16" s="90">
        <f t="shared" si="0"/>
        <v>0.54</v>
      </c>
    </row>
    <row r="18" spans="1:7" s="92" customFormat="1" ht="13" customHeight="1" x14ac:dyDescent="0.3">
      <c r="A18" s="92" t="s">
        <v>333</v>
      </c>
    </row>
    <row r="19" spans="1:7" ht="13" customHeight="1" x14ac:dyDescent="0.3">
      <c r="A19" s="1" t="s">
        <v>156</v>
      </c>
      <c r="B19" s="1" t="s">
        <v>336</v>
      </c>
      <c r="C19" s="1"/>
      <c r="D19" s="4" t="s">
        <v>112</v>
      </c>
      <c r="E19" s="4" t="s">
        <v>113</v>
      </c>
      <c r="F19" s="4" t="s">
        <v>114</v>
      </c>
      <c r="G19" s="4" t="s">
        <v>115</v>
      </c>
    </row>
    <row r="20" spans="1:7" x14ac:dyDescent="0.25">
      <c r="A20" s="3" t="s">
        <v>168</v>
      </c>
      <c r="B20" s="8" t="s">
        <v>94</v>
      </c>
      <c r="C20" s="3" t="s">
        <v>338</v>
      </c>
      <c r="D20" s="90">
        <f t="shared" ref="D20:G25" si="1">IF($C2="Affected fraction",D2,IF(D2=1,1,D2*1.05))</f>
        <v>1</v>
      </c>
      <c r="E20" s="90">
        <f t="shared" si="1"/>
        <v>1</v>
      </c>
      <c r="F20" s="90">
        <f t="shared" si="1"/>
        <v>1</v>
      </c>
      <c r="G20" s="90">
        <f t="shared" si="1"/>
        <v>1</v>
      </c>
    </row>
    <row r="21" spans="1:7" x14ac:dyDescent="0.25">
      <c r="C21" s="8" t="s">
        <v>339</v>
      </c>
      <c r="D21" s="90">
        <f t="shared" si="1"/>
        <v>0.17850000000000002</v>
      </c>
      <c r="E21" s="90">
        <f t="shared" si="1"/>
        <v>0.17850000000000002</v>
      </c>
      <c r="F21" s="90">
        <f t="shared" si="1"/>
        <v>0.17850000000000002</v>
      </c>
      <c r="G21" s="90">
        <f t="shared" si="1"/>
        <v>0.17850000000000002</v>
      </c>
    </row>
    <row r="22" spans="1:7" x14ac:dyDescent="0.25">
      <c r="A22" s="3" t="s">
        <v>187</v>
      </c>
      <c r="B22" s="8" t="s">
        <v>94</v>
      </c>
      <c r="C22" s="3" t="s">
        <v>338</v>
      </c>
      <c r="D22" s="90">
        <f t="shared" si="1"/>
        <v>1</v>
      </c>
      <c r="E22" s="90">
        <f t="shared" si="1"/>
        <v>1</v>
      </c>
      <c r="F22" s="90">
        <f t="shared" si="1"/>
        <v>1</v>
      </c>
      <c r="G22" s="90">
        <f t="shared" si="1"/>
        <v>1</v>
      </c>
    </row>
    <row r="23" spans="1:7" x14ac:dyDescent="0.25">
      <c r="C23" s="8" t="s">
        <v>339</v>
      </c>
      <c r="D23" s="90">
        <f t="shared" si="1"/>
        <v>0.61949999999999994</v>
      </c>
      <c r="E23" s="90">
        <f t="shared" si="1"/>
        <v>0.61949999999999994</v>
      </c>
      <c r="F23" s="90">
        <f t="shared" si="1"/>
        <v>0.61949999999999994</v>
      </c>
      <c r="G23" s="90">
        <f t="shared" si="1"/>
        <v>0.61949999999999994</v>
      </c>
    </row>
    <row r="24" spans="1:7" x14ac:dyDescent="0.25">
      <c r="A24" s="3" t="s">
        <v>186</v>
      </c>
      <c r="B24" s="8" t="s">
        <v>94</v>
      </c>
      <c r="C24" s="3" t="s">
        <v>338</v>
      </c>
      <c r="D24" s="90">
        <f t="shared" si="1"/>
        <v>1</v>
      </c>
      <c r="E24" s="90">
        <f t="shared" si="1"/>
        <v>1</v>
      </c>
      <c r="F24" s="90">
        <f t="shared" si="1"/>
        <v>1</v>
      </c>
      <c r="G24" s="90">
        <f t="shared" si="1"/>
        <v>1</v>
      </c>
    </row>
    <row r="25" spans="1:7" x14ac:dyDescent="0.25">
      <c r="C25" s="8" t="s">
        <v>339</v>
      </c>
      <c r="D25" s="90">
        <f t="shared" si="1"/>
        <v>0.63</v>
      </c>
      <c r="E25" s="90">
        <f t="shared" si="1"/>
        <v>0.63</v>
      </c>
      <c r="F25" s="90">
        <f t="shared" si="1"/>
        <v>0.63</v>
      </c>
      <c r="G25" s="90">
        <f t="shared" si="1"/>
        <v>0.63</v>
      </c>
    </row>
  </sheetData>
  <sheetProtection algorithmName="SHA-512" hashValue="fD/NtwVK+PcHRoArucEDXjoVAZq+Pdy470QWlajpbBg2wctMnQZDqFBoDJ6KQlUgzLMhwAsoHQieijhL0r6RZg==" saltValue="RgQq0XI9XWb56YL04pAAKA==" spinCount="100000" sheet="1" selectLockedCells="1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C11" sqref="C11"/>
    </sheetView>
  </sheetViews>
  <sheetFormatPr defaultColWidth="14.453125" defaultRowHeight="15.75" customHeight="1" x14ac:dyDescent="0.25"/>
  <cols>
    <col min="1" max="1" width="16.08984375" customWidth="1"/>
    <col min="2" max="2" width="31.36328125" customWidth="1"/>
    <col min="3" max="8" width="13" customWidth="1"/>
  </cols>
  <sheetData>
    <row r="1" spans="1:8" ht="27.75" customHeight="1" x14ac:dyDescent="0.3">
      <c r="A1" s="4" t="str">
        <f>"Percentage of deaths in baseline year ("&amp;start_year&amp;") attributable to cause"</f>
        <v>Percentage of deaths in baseline year (2021) attributable to cause</v>
      </c>
      <c r="B1" s="29"/>
      <c r="C1" s="29"/>
      <c r="D1" s="29"/>
      <c r="E1" s="29"/>
      <c r="F1" s="29"/>
    </row>
    <row r="2" spans="1:8" ht="27.75" customHeight="1" x14ac:dyDescent="0.3">
      <c r="A2" t="s">
        <v>65</v>
      </c>
      <c r="B2" s="29" t="s">
        <v>66</v>
      </c>
      <c r="C2" s="29" t="s">
        <v>67</v>
      </c>
      <c r="D2" s="29"/>
      <c r="E2" s="29"/>
      <c r="F2" s="29"/>
      <c r="G2" s="29"/>
    </row>
    <row r="3" spans="1:8" ht="15.75" customHeight="1" x14ac:dyDescent="0.25">
      <c r="B3" s="19" t="s">
        <v>68</v>
      </c>
      <c r="C3" s="55">
        <v>3.1882011547027188E-3</v>
      </c>
    </row>
    <row r="4" spans="1:8" ht="15.75" customHeight="1" x14ac:dyDescent="0.25">
      <c r="B4" s="19" t="s">
        <v>69</v>
      </c>
      <c r="C4" s="101">
        <v>0.10845454287368909</v>
      </c>
    </row>
    <row r="5" spans="1:8" ht="15.75" customHeight="1" x14ac:dyDescent="0.25">
      <c r="B5" s="19" t="s">
        <v>70</v>
      </c>
      <c r="C5" s="101">
        <v>5.3326856785208279E-2</v>
      </c>
    </row>
    <row r="6" spans="1:8" ht="15.75" customHeight="1" x14ac:dyDescent="0.25">
      <c r="B6" s="19" t="s">
        <v>71</v>
      </c>
      <c r="C6" s="101">
        <v>0.21397488944226251</v>
      </c>
    </row>
    <row r="7" spans="1:8" ht="15.75" customHeight="1" x14ac:dyDescent="0.25">
      <c r="B7" s="19" t="s">
        <v>72</v>
      </c>
      <c r="C7" s="101">
        <v>0.36897468154075391</v>
      </c>
    </row>
    <row r="8" spans="1:8" ht="15.75" customHeight="1" x14ac:dyDescent="0.25">
      <c r="B8" s="19" t="s">
        <v>73</v>
      </c>
      <c r="C8" s="101">
        <v>3.5334742592737292E-3</v>
      </c>
    </row>
    <row r="9" spans="1:8" ht="15.75" customHeight="1" x14ac:dyDescent="0.25">
      <c r="B9" s="19" t="s">
        <v>74</v>
      </c>
      <c r="C9" s="101">
        <v>0.16829639012017031</v>
      </c>
    </row>
    <row r="10" spans="1:8" ht="15.75" customHeight="1" x14ac:dyDescent="0.25">
      <c r="B10" s="19" t="s">
        <v>75</v>
      </c>
      <c r="C10" s="101">
        <v>8.0250963823939467E-2</v>
      </c>
    </row>
    <row r="11" spans="1:8" ht="15.75" customHeight="1" x14ac:dyDescent="0.25">
      <c r="B11" s="27" t="s">
        <v>30</v>
      </c>
      <c r="C11" s="48">
        <f>SUM(C3:C10)</f>
        <v>1</v>
      </c>
      <c r="G11" s="19"/>
      <c r="H11" s="19"/>
    </row>
    <row r="12" spans="1:8" ht="15.75" customHeight="1" x14ac:dyDescent="0.25">
      <c r="B12" s="27"/>
      <c r="C12" s="19"/>
      <c r="D12" s="19"/>
      <c r="E12" s="19"/>
      <c r="F12" s="19"/>
      <c r="G12" s="19"/>
      <c r="H12" s="19"/>
    </row>
    <row r="13" spans="1:8" ht="15.75" customHeight="1" x14ac:dyDescent="0.3">
      <c r="A13" s="8" t="s">
        <v>76</v>
      </c>
      <c r="B13" s="29" t="s">
        <v>66</v>
      </c>
      <c r="C13" s="102" t="s">
        <v>77</v>
      </c>
      <c r="D13" s="102" t="s">
        <v>78</v>
      </c>
      <c r="E13" s="102" t="s">
        <v>79</v>
      </c>
      <c r="F13" s="102" t="s">
        <v>80</v>
      </c>
      <c r="G13" s="19"/>
    </row>
    <row r="14" spans="1:8" ht="15.75" customHeight="1" x14ac:dyDescent="0.25">
      <c r="B14" s="19" t="s">
        <v>81</v>
      </c>
      <c r="C14" s="55">
        <v>0.14250445748556489</v>
      </c>
      <c r="D14" s="55">
        <v>0.14250445748556489</v>
      </c>
      <c r="E14" s="55">
        <v>0.14250445748556489</v>
      </c>
      <c r="F14" s="55">
        <v>0.14250445748556489</v>
      </c>
    </row>
    <row r="15" spans="1:8" ht="15.75" customHeight="1" x14ac:dyDescent="0.25">
      <c r="B15" s="19" t="s">
        <v>82</v>
      </c>
      <c r="C15" s="101">
        <v>0.2033086398196978</v>
      </c>
      <c r="D15" s="101">
        <v>0.2033086398196978</v>
      </c>
      <c r="E15" s="101">
        <v>0.2033086398196978</v>
      </c>
      <c r="F15" s="101">
        <v>0.2033086398196978</v>
      </c>
    </row>
    <row r="16" spans="1:8" ht="15.75" customHeight="1" x14ac:dyDescent="0.25">
      <c r="B16" s="19" t="s">
        <v>83</v>
      </c>
      <c r="C16" s="101">
        <v>1.0998560329977491E-2</v>
      </c>
      <c r="D16" s="101">
        <v>1.0998560329977491E-2</v>
      </c>
      <c r="E16" s="101">
        <v>1.0998560329977491E-2</v>
      </c>
      <c r="F16" s="101">
        <v>1.0998560329977491E-2</v>
      </c>
    </row>
    <row r="17" spans="1:8" ht="15.75" customHeight="1" x14ac:dyDescent="0.25">
      <c r="B17" s="19" t="s">
        <v>84</v>
      </c>
      <c r="C17" s="101">
        <v>0</v>
      </c>
      <c r="D17" s="101">
        <v>0</v>
      </c>
      <c r="E17" s="101">
        <v>0</v>
      </c>
      <c r="F17" s="101">
        <v>0</v>
      </c>
    </row>
    <row r="18" spans="1:8" ht="15.75" customHeight="1" x14ac:dyDescent="0.25">
      <c r="B18" s="19" t="s">
        <v>85</v>
      </c>
      <c r="C18" s="101">
        <v>0</v>
      </c>
      <c r="D18" s="101">
        <v>0</v>
      </c>
      <c r="E18" s="101">
        <v>0</v>
      </c>
      <c r="F18" s="101">
        <v>0</v>
      </c>
    </row>
    <row r="19" spans="1:8" ht="15.75" customHeight="1" x14ac:dyDescent="0.25">
      <c r="B19" s="19" t="s">
        <v>86</v>
      </c>
      <c r="C19" s="101">
        <v>1.646141309712797E-2</v>
      </c>
      <c r="D19" s="101">
        <v>1.646141309712797E-2</v>
      </c>
      <c r="E19" s="101">
        <v>1.646141309712797E-2</v>
      </c>
      <c r="F19" s="101">
        <v>1.646141309712797E-2</v>
      </c>
    </row>
    <row r="20" spans="1:8" ht="15.75" customHeight="1" x14ac:dyDescent="0.25">
      <c r="B20" s="19" t="s">
        <v>87</v>
      </c>
      <c r="C20" s="101">
        <v>1.6537603078059339E-3</v>
      </c>
      <c r="D20" s="101">
        <v>1.6537603078059339E-3</v>
      </c>
      <c r="E20" s="101">
        <v>1.6537603078059339E-3</v>
      </c>
      <c r="F20" s="101">
        <v>1.6537603078059339E-3</v>
      </c>
    </row>
    <row r="21" spans="1:8" ht="15.75" customHeight="1" x14ac:dyDescent="0.25">
      <c r="B21" s="19" t="s">
        <v>88</v>
      </c>
      <c r="C21" s="101">
        <v>0.1494838800705556</v>
      </c>
      <c r="D21" s="101">
        <v>0.1494838800705556</v>
      </c>
      <c r="E21" s="101">
        <v>0.1494838800705556</v>
      </c>
      <c r="F21" s="101">
        <v>0.1494838800705556</v>
      </c>
    </row>
    <row r="22" spans="1:8" ht="15.75" customHeight="1" x14ac:dyDescent="0.25">
      <c r="B22" s="19" t="s">
        <v>89</v>
      </c>
      <c r="C22" s="101">
        <v>0.47558928888927038</v>
      </c>
      <c r="D22" s="101">
        <v>0.47558928888927038</v>
      </c>
      <c r="E22" s="101">
        <v>0.47558928888927038</v>
      </c>
      <c r="F22" s="101">
        <v>0.47558928888927038</v>
      </c>
    </row>
    <row r="23" spans="1:8" ht="15.75" customHeight="1" x14ac:dyDescent="0.25">
      <c r="B23" s="27" t="s">
        <v>30</v>
      </c>
      <c r="C23" s="48">
        <f>SUM(C14:C22)</f>
        <v>1</v>
      </c>
      <c r="D23" s="48">
        <f>SUM(D14:D22)</f>
        <v>1</v>
      </c>
      <c r="E23" s="48">
        <f>SUM(E14:E22)</f>
        <v>1</v>
      </c>
      <c r="F23" s="48">
        <f>SUM(F14:F22)</f>
        <v>1</v>
      </c>
      <c r="G23" s="19"/>
      <c r="H23" s="19"/>
    </row>
    <row r="24" spans="1:8" ht="15.75" customHeight="1" x14ac:dyDescent="0.25">
      <c r="B24" s="27"/>
      <c r="C24" s="19"/>
      <c r="D24" s="19"/>
      <c r="E24" s="19"/>
      <c r="F24" s="19"/>
      <c r="G24" s="19"/>
      <c r="H24" s="19"/>
    </row>
    <row r="25" spans="1:8" ht="15.75" customHeight="1" x14ac:dyDescent="0.3">
      <c r="A25" t="s">
        <v>90</v>
      </c>
      <c r="B25" s="29" t="s">
        <v>66</v>
      </c>
      <c r="C25" s="29" t="s">
        <v>90</v>
      </c>
      <c r="D25" s="19"/>
      <c r="E25" s="19"/>
      <c r="F25" s="19"/>
      <c r="G25" s="19"/>
      <c r="H25" s="19"/>
    </row>
    <row r="26" spans="1:8" ht="15.75" customHeight="1" x14ac:dyDescent="0.25">
      <c r="B26" s="19" t="s">
        <v>91</v>
      </c>
      <c r="C26" s="55">
        <v>3.2286483999999997E-2</v>
      </c>
    </row>
    <row r="27" spans="1:8" ht="15.75" customHeight="1" x14ac:dyDescent="0.25">
      <c r="B27" s="19" t="s">
        <v>92</v>
      </c>
      <c r="C27" s="101">
        <v>8.0926539000000006E-2</v>
      </c>
    </row>
    <row r="28" spans="1:8" ht="15.75" customHeight="1" x14ac:dyDescent="0.25">
      <c r="B28" s="19" t="s">
        <v>93</v>
      </c>
      <c r="C28" s="101">
        <v>0.11034517200000001</v>
      </c>
    </row>
    <row r="29" spans="1:8" ht="15.75" customHeight="1" x14ac:dyDescent="0.25">
      <c r="B29" s="19" t="s">
        <v>94</v>
      </c>
      <c r="C29" s="101">
        <v>8.99475E-2</v>
      </c>
    </row>
    <row r="30" spans="1:8" ht="15.75" customHeight="1" x14ac:dyDescent="0.25">
      <c r="B30" s="19" t="s">
        <v>95</v>
      </c>
      <c r="C30" s="101">
        <v>2.9600607000000001E-2</v>
      </c>
    </row>
    <row r="31" spans="1:8" ht="15.75" customHeight="1" x14ac:dyDescent="0.25">
      <c r="B31" s="19" t="s">
        <v>96</v>
      </c>
      <c r="C31" s="101">
        <v>3.5472995E-2</v>
      </c>
    </row>
    <row r="32" spans="1:8" ht="15.75" customHeight="1" x14ac:dyDescent="0.25">
      <c r="B32" s="19" t="s">
        <v>97</v>
      </c>
      <c r="C32" s="101">
        <v>0.250963082</v>
      </c>
    </row>
    <row r="33" spans="2:3" ht="15.75" customHeight="1" x14ac:dyDescent="0.25">
      <c r="B33" s="19" t="s">
        <v>98</v>
      </c>
      <c r="C33" s="101">
        <v>0.14174240299999999</v>
      </c>
    </row>
    <row r="34" spans="2:3" ht="15.75" customHeight="1" x14ac:dyDescent="0.25">
      <c r="B34" s="19" t="s">
        <v>99</v>
      </c>
      <c r="C34" s="101">
        <v>0.228715217</v>
      </c>
    </row>
    <row r="35" spans="2:3" ht="15.75" customHeight="1" x14ac:dyDescent="0.25">
      <c r="B35" s="27" t="s">
        <v>30</v>
      </c>
      <c r="C35" s="48">
        <f>SUM(C26:C34)</f>
        <v>0.99999999900000003</v>
      </c>
    </row>
  </sheetData>
  <sheetProtection algorithmName="SHA-512" hashValue="sadLWueMPDmmVn6pA3hrJfCDmcHMjth0IA+NA9TpB2oknhku+/645RXJMb8ll6atkV5VLDi27zVULFpTC00pqw==" saltValue="rtY/nqRgyaBwNxtbxiN70A==" spinCount="100000" sheet="1" scenarios="1" selectLockedCells="1"/>
  <pageMargins left="0.75" right="0.75" top="1" bottom="1" header="0.5" footer="0.5"/>
  <pageSetup paperSize="9" scale="69" orientation="portrait" horizontalDpi="4294967292" verticalDpi="429496729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zoomScaleNormal="100" workbookViewId="0">
      <selection activeCell="C10" sqref="C10:G11"/>
    </sheetView>
  </sheetViews>
  <sheetFormatPr defaultColWidth="14.453125" defaultRowHeight="15.75" customHeight="1" x14ac:dyDescent="0.25"/>
  <cols>
    <col min="1" max="1" width="31.453125" customWidth="1"/>
    <col min="2" max="2" width="24" customWidth="1"/>
  </cols>
  <sheetData>
    <row r="1" spans="1:15" ht="36" customHeight="1" x14ac:dyDescent="0.3">
      <c r="A1" s="22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11" t="s">
        <v>67</v>
      </c>
      <c r="D1" s="11" t="s">
        <v>77</v>
      </c>
      <c r="E1" s="11" t="s">
        <v>78</v>
      </c>
      <c r="F1" s="11" t="s">
        <v>79</v>
      </c>
      <c r="G1" s="11" t="s">
        <v>80</v>
      </c>
    </row>
    <row r="2" spans="1:15" ht="15.75" customHeight="1" x14ac:dyDescent="0.25">
      <c r="A2" s="3" t="s">
        <v>101</v>
      </c>
      <c r="B2" s="5" t="s">
        <v>102</v>
      </c>
      <c r="C2" s="52">
        <f>IFERROR(1-_xlfn.NORM.DIST(_xlfn.NORM.INV(SUM(C4:C5), 0, 1) + 1, 0, 1, TRUE), "")</f>
        <v>0.50586891701344694</v>
      </c>
      <c r="D2" s="52">
        <f>IFERROR(1-_xlfn.NORM.DIST(_xlfn.NORM.INV(SUM(D4:D5), 0, 1) + 1, 0, 1, TRUE), "")</f>
        <v>0.50586891701344694</v>
      </c>
      <c r="E2" s="52">
        <f>IFERROR(1-_xlfn.NORM.DIST(_xlfn.NORM.INV(SUM(E4:E5), 0, 1) + 1, 0, 1, TRUE), "")</f>
        <v>0.542379968551153</v>
      </c>
      <c r="F2" s="52">
        <f>IFERROR(1-_xlfn.NORM.DIST(_xlfn.NORM.INV(SUM(F4:F5), 0, 1) + 1, 0, 1, TRUE), "")</f>
        <v>0.49358199122573021</v>
      </c>
      <c r="G2" s="52">
        <f>IFERROR(1-_xlfn.NORM.DIST(_xlfn.NORM.INV(SUM(G4:G5), 0, 1) + 1, 0, 1, TRUE), "")</f>
        <v>0.29457850360004501</v>
      </c>
    </row>
    <row r="3" spans="1:15" ht="15.75" customHeight="1" x14ac:dyDescent="0.25">
      <c r="B3" s="5" t="s">
        <v>103</v>
      </c>
      <c r="C3" s="52">
        <f>IFERROR(_xlfn.NORM.DIST(_xlfn.NORM.INV(SUM(C4:C5), 0, 1) + 1, 0, 1, TRUE) - SUM(C4:C5), "")</f>
        <v>0.33900945106621549</v>
      </c>
      <c r="D3" s="52">
        <f>IFERROR(_xlfn.NORM.DIST(_xlfn.NORM.INV(SUM(D4:D5), 0, 1) + 1, 0, 1, TRUE) - SUM(D4:D5), "")</f>
        <v>0.33900945106621549</v>
      </c>
      <c r="E3" s="52">
        <f>IFERROR(_xlfn.NORM.DIST(_xlfn.NORM.INV(SUM(E4:E5), 0, 1) + 1, 0, 1, TRUE) - SUM(E4:E5), "")</f>
        <v>0.32335011592770213</v>
      </c>
      <c r="F3" s="52">
        <f>IFERROR(_xlfn.NORM.DIST(_xlfn.NORM.INV(SUM(F4:F5), 0, 1) + 1, 0, 1, TRUE) - SUM(F4:F5), "")</f>
        <v>0.34383855429266807</v>
      </c>
      <c r="G3" s="52">
        <f>IFERROR(_xlfn.NORM.DIST(_xlfn.NORM.INV(SUM(G4:G5), 0, 1) + 1, 0, 1, TRUE) - SUM(G4:G5), "")</f>
        <v>0.382642556199149</v>
      </c>
    </row>
    <row r="4" spans="1:15" ht="15.75" customHeight="1" x14ac:dyDescent="0.25">
      <c r="B4" s="5" t="s">
        <v>104</v>
      </c>
      <c r="C4" s="45">
        <v>8.257152885198589E-2</v>
      </c>
      <c r="D4" s="53">
        <v>8.257152885198589E-2</v>
      </c>
      <c r="E4" s="53">
        <v>7.6196506619453402E-2</v>
      </c>
      <c r="F4" s="53">
        <v>9.4974882900714888E-2</v>
      </c>
      <c r="G4" s="53">
        <v>0.16951029002666501</v>
      </c>
    </row>
    <row r="5" spans="1:15" ht="15.75" customHeight="1" x14ac:dyDescent="0.25">
      <c r="B5" s="5" t="s">
        <v>105</v>
      </c>
      <c r="C5" s="45">
        <v>7.2550103068351704E-2</v>
      </c>
      <c r="D5" s="53">
        <v>7.2550103068351704E-2</v>
      </c>
      <c r="E5" s="53">
        <v>5.8073408901691402E-2</v>
      </c>
      <c r="F5" s="53">
        <v>6.7604571580886799E-2</v>
      </c>
      <c r="G5" s="53">
        <v>0.15326865017414101</v>
      </c>
    </row>
    <row r="6" spans="1:15" ht="15.75" customHeight="1" x14ac:dyDescent="0.25">
      <c r="B6" s="9"/>
      <c r="C6" s="24"/>
      <c r="D6" s="24"/>
      <c r="E6" s="24"/>
      <c r="F6" s="24"/>
      <c r="G6" s="24"/>
    </row>
    <row r="7" spans="1:15" ht="15.75" customHeight="1" x14ac:dyDescent="0.25">
      <c r="B7" s="9"/>
      <c r="C7" s="24"/>
      <c r="D7" s="24"/>
      <c r="E7" s="24"/>
      <c r="F7" s="24"/>
      <c r="G7" s="24"/>
    </row>
    <row r="8" spans="1:15" ht="15.75" customHeight="1" x14ac:dyDescent="0.25">
      <c r="A8" s="3" t="s">
        <v>106</v>
      </c>
      <c r="B8" s="5" t="s">
        <v>107</v>
      </c>
      <c r="C8" s="52">
        <f>IFERROR(1-_xlfn.NORM.DIST(_xlfn.NORM.INV(SUM(C10:C11), 0, 1) + 1, 0, 1, TRUE), "")</f>
        <v>0.46913014532718611</v>
      </c>
      <c r="D8" s="52">
        <f>IFERROR(1-_xlfn.NORM.DIST(_xlfn.NORM.INV(SUM(D10:D11), 0, 1) + 1, 0, 1, TRUE), "")</f>
        <v>0.46913014532718611</v>
      </c>
      <c r="E8" s="52">
        <f>IFERROR(1-_xlfn.NORM.DIST(_xlfn.NORM.INV(SUM(E10:E11), 0, 1) + 1, 0, 1, TRUE), "")</f>
        <v>0.51600545151880994</v>
      </c>
      <c r="F8" s="52">
        <f>IFERROR(1-_xlfn.NORM.DIST(_xlfn.NORM.INV(SUM(F10:F11), 0, 1) + 1, 0, 1, TRUE), "")</f>
        <v>0.72396020651220128</v>
      </c>
      <c r="G8" s="52">
        <f>IFERROR(1-_xlfn.NORM.DIST(_xlfn.NORM.INV(SUM(G10:G11), 0, 1) + 1, 0, 1, TRUE), "")</f>
        <v>0.78441006992048012</v>
      </c>
    </row>
    <row r="9" spans="1:15" ht="15.75" customHeight="1" x14ac:dyDescent="0.25">
      <c r="B9" s="5" t="s">
        <v>108</v>
      </c>
      <c r="C9" s="52">
        <f>IFERROR(_xlfn.NORM.DIST(_xlfn.NORM.INV(SUM(C10:C11), 0, 1) + 1, 0, 1, TRUE) - SUM(C10:C11), "")</f>
        <v>0.35274724481906905</v>
      </c>
      <c r="D9" s="52">
        <f>IFERROR(_xlfn.NORM.DIST(_xlfn.NORM.INV(SUM(D10:D11), 0, 1) + 1, 0, 1, TRUE) - SUM(D10:D11), "")</f>
        <v>0.35274724481906905</v>
      </c>
      <c r="E9" s="52">
        <f>IFERROR(_xlfn.NORM.DIST(_xlfn.NORM.INV(SUM(E10:E11), 0, 1) + 1, 0, 1, TRUE) - SUM(E10:E11), "")</f>
        <v>0.33485490762838116</v>
      </c>
      <c r="F9" s="52">
        <f>IFERROR(_xlfn.NORM.DIST(_xlfn.NORM.INV(SUM(F10:F11), 0, 1) + 1, 0, 1, TRUE) - SUM(F10:F11), "")</f>
        <v>0.22064417354406074</v>
      </c>
      <c r="G9" s="52">
        <f>IFERROR(_xlfn.NORM.DIST(_xlfn.NORM.INV(SUM(G10:G11), 0, 1) + 1, 0, 1, TRUE) - SUM(G10:G11), "")</f>
        <v>0.17863526638561497</v>
      </c>
    </row>
    <row r="10" spans="1:15" ht="15.75" customHeight="1" x14ac:dyDescent="0.25">
      <c r="B10" s="5" t="s">
        <v>109</v>
      </c>
      <c r="C10" s="45">
        <v>0.12681965529918701</v>
      </c>
      <c r="D10" s="53">
        <v>0.12681965529918701</v>
      </c>
      <c r="E10" s="53">
        <v>0.12084561586379999</v>
      </c>
      <c r="F10" s="53">
        <v>3.24748046696186E-2</v>
      </c>
      <c r="G10" s="53">
        <v>2.33650449663401E-2</v>
      </c>
    </row>
    <row r="11" spans="1:15" ht="15.75" customHeight="1" x14ac:dyDescent="0.25">
      <c r="B11" s="5" t="s">
        <v>110</v>
      </c>
      <c r="C11" s="45">
        <v>5.13029545545578E-2</v>
      </c>
      <c r="D11" s="53">
        <v>5.13029545545578E-2</v>
      </c>
      <c r="E11" s="53">
        <v>2.82940249890089E-2</v>
      </c>
      <c r="F11" s="53">
        <v>2.2920815274119401E-2</v>
      </c>
      <c r="G11" s="53">
        <v>1.35896187275648E-2</v>
      </c>
    </row>
    <row r="12" spans="1:15" ht="15.75" customHeight="1" x14ac:dyDescent="0.25">
      <c r="C12" s="6"/>
      <c r="D12" s="6"/>
      <c r="E12" s="6"/>
      <c r="F12" s="6"/>
      <c r="G12" s="6"/>
      <c r="I12" s="10"/>
      <c r="J12" s="10"/>
      <c r="K12" s="10"/>
      <c r="L12" s="10"/>
      <c r="M12" s="10"/>
      <c r="N12" s="10"/>
      <c r="O12" s="10"/>
    </row>
    <row r="13" spans="1:15" ht="27" customHeight="1" x14ac:dyDescent="0.25">
      <c r="A13" s="8" t="s">
        <v>111</v>
      </c>
      <c r="C13" s="11" t="s">
        <v>67</v>
      </c>
      <c r="D13" s="11" t="s">
        <v>77</v>
      </c>
      <c r="E13" s="11" t="s">
        <v>78</v>
      </c>
      <c r="F13" s="11" t="s">
        <v>79</v>
      </c>
      <c r="G13" s="11" t="s">
        <v>80</v>
      </c>
      <c r="H13" s="18" t="s">
        <v>112</v>
      </c>
      <c r="I13" s="18" t="s">
        <v>113</v>
      </c>
      <c r="J13" s="18" t="s">
        <v>114</v>
      </c>
      <c r="K13" s="18" t="s">
        <v>115</v>
      </c>
      <c r="L13" s="18" t="s">
        <v>58</v>
      </c>
      <c r="M13" s="18" t="s">
        <v>59</v>
      </c>
      <c r="N13" s="18" t="s">
        <v>60</v>
      </c>
      <c r="O13" s="18" t="s">
        <v>61</v>
      </c>
    </row>
    <row r="14" spans="1:15" ht="15.75" customHeight="1" x14ac:dyDescent="0.25">
      <c r="B14" s="11" t="s">
        <v>116</v>
      </c>
      <c r="C14" s="51">
        <v>0.62129762875000005</v>
      </c>
      <c r="D14" s="54">
        <v>0.59335814614399995</v>
      </c>
      <c r="E14" s="54">
        <v>0.59335814614399995</v>
      </c>
      <c r="F14" s="54">
        <v>0.289678393378</v>
      </c>
      <c r="G14" s="54">
        <v>0.289678393378</v>
      </c>
      <c r="H14" s="45">
        <v>0.40100000000000002</v>
      </c>
      <c r="I14" s="55">
        <v>0.40100000000000002</v>
      </c>
      <c r="J14" s="55">
        <v>0.40100000000000002</v>
      </c>
      <c r="K14" s="55">
        <v>0.40100000000000002</v>
      </c>
      <c r="L14" s="45">
        <v>0.38400000000000001</v>
      </c>
      <c r="M14" s="55">
        <v>0.38400000000000001</v>
      </c>
      <c r="N14" s="55">
        <v>0.38400000000000001</v>
      </c>
      <c r="O14" s="55">
        <v>0.38400000000000001</v>
      </c>
    </row>
    <row r="15" spans="1:15" ht="15.75" customHeight="1" x14ac:dyDescent="0.25">
      <c r="B15" s="11" t="s">
        <v>117</v>
      </c>
      <c r="C15" s="52">
        <f t="shared" ref="C15:O15" si="0">iron_deficiency_anaemia*C14</f>
        <v>0.35760648915592502</v>
      </c>
      <c r="D15" s="52">
        <f t="shared" si="0"/>
        <v>0.34152508175756346</v>
      </c>
      <c r="E15" s="52">
        <f t="shared" si="0"/>
        <v>0.34152508175756346</v>
      </c>
      <c r="F15" s="52">
        <f t="shared" si="0"/>
        <v>0.16673308966050923</v>
      </c>
      <c r="G15" s="52">
        <f t="shared" si="0"/>
        <v>0.16673308966050923</v>
      </c>
      <c r="H15" s="52">
        <f t="shared" si="0"/>
        <v>0.23080758000000001</v>
      </c>
      <c r="I15" s="52">
        <f t="shared" si="0"/>
        <v>0.23080758000000001</v>
      </c>
      <c r="J15" s="52">
        <f t="shared" si="0"/>
        <v>0.23080758000000001</v>
      </c>
      <c r="K15" s="52">
        <f t="shared" si="0"/>
        <v>0.23080758000000001</v>
      </c>
      <c r="L15" s="52">
        <f t="shared" si="0"/>
        <v>0.22102272000000001</v>
      </c>
      <c r="M15" s="52">
        <f t="shared" si="0"/>
        <v>0.22102272000000001</v>
      </c>
      <c r="N15" s="52">
        <f t="shared" si="0"/>
        <v>0.22102272000000001</v>
      </c>
      <c r="O15" s="52">
        <f t="shared" si="0"/>
        <v>0.22102272000000001</v>
      </c>
    </row>
    <row r="16" spans="1:15" ht="15.75" customHeight="1" x14ac:dyDescent="0.25">
      <c r="C16" s="6"/>
      <c r="D16" s="6"/>
      <c r="E16" s="6"/>
      <c r="F16" s="6"/>
      <c r="G16" s="6"/>
    </row>
    <row r="17" spans="3:7" ht="15.75" customHeight="1" x14ac:dyDescent="0.25">
      <c r="C17" s="6"/>
      <c r="D17" s="6"/>
      <c r="E17" s="6"/>
      <c r="F17" s="6"/>
      <c r="G17" s="6"/>
    </row>
  </sheetData>
  <sheetProtection algorithmName="SHA-512" hashValue="3xqyzchqVxS9zXO7znTyrqmG4eussISLX/4mg7LlMD/t3IsNh7m6SG4MjR9+VAYcXzElaKb7tc77YYjF5+e59A==" saltValue="FUkBI++HWGg/TA0T1/fuQA==" spinCount="100000" sheet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2" sqref="C2:G4"/>
    </sheetView>
  </sheetViews>
  <sheetFormatPr defaultColWidth="8.90625" defaultRowHeight="12.5" x14ac:dyDescent="0.25"/>
  <cols>
    <col min="1" max="1" width="28.90625" customWidth="1"/>
    <col min="2" max="7" width="13.453125" customWidth="1"/>
  </cols>
  <sheetData>
    <row r="1" spans="1:7" ht="40.5" customHeight="1" x14ac:dyDescent="0.3">
      <c r="A1" s="22" t="str">
        <f>"Percentage of children in each category in baseline year ("&amp;start_year&amp;")"</f>
        <v>Percentage of children in each category in baseline year (2021)</v>
      </c>
      <c r="B1" s="1" t="s">
        <v>100</v>
      </c>
      <c r="C1" s="8" t="s">
        <v>67</v>
      </c>
      <c r="D1" s="8" t="s">
        <v>77</v>
      </c>
      <c r="E1" s="8" t="s">
        <v>78</v>
      </c>
      <c r="F1" s="8" t="s">
        <v>79</v>
      </c>
      <c r="G1" s="8" t="s">
        <v>80</v>
      </c>
    </row>
    <row r="2" spans="1:7" x14ac:dyDescent="0.25">
      <c r="A2" s="3" t="s">
        <v>118</v>
      </c>
      <c r="B2" s="3" t="s">
        <v>119</v>
      </c>
      <c r="C2" s="45">
        <v>0.22567516565322901</v>
      </c>
      <c r="D2" s="53">
        <v>8.5698490000000002E-2</v>
      </c>
      <c r="E2" s="53"/>
      <c r="F2" s="53"/>
      <c r="G2" s="53"/>
    </row>
    <row r="3" spans="1:7" x14ac:dyDescent="0.25">
      <c r="B3" s="3" t="s">
        <v>120</v>
      </c>
      <c r="C3" s="53">
        <v>0.39929413795471203</v>
      </c>
      <c r="D3" s="53">
        <v>0.36836629999999998</v>
      </c>
      <c r="E3" s="53"/>
      <c r="F3" s="53"/>
      <c r="G3" s="53"/>
    </row>
    <row r="4" spans="1:7" x14ac:dyDescent="0.25">
      <c r="B4" s="3" t="s">
        <v>121</v>
      </c>
      <c r="C4" s="53">
        <v>0.272236198186874</v>
      </c>
      <c r="D4" s="53">
        <v>0.3576281</v>
      </c>
      <c r="E4" s="53">
        <v>0.496575057506561</v>
      </c>
      <c r="F4" s="53">
        <v>0.26392653584480302</v>
      </c>
      <c r="G4" s="53"/>
    </row>
    <row r="5" spans="1:7" x14ac:dyDescent="0.25">
      <c r="B5" s="3" t="s">
        <v>122</v>
      </c>
      <c r="C5" s="52">
        <v>0.10279451310634601</v>
      </c>
      <c r="D5" s="52">
        <v>0.18830710649490401</v>
      </c>
      <c r="E5" s="52">
        <f>1-SUM(E2:E4)</f>
        <v>0.50342494249343894</v>
      </c>
      <c r="F5" s="52">
        <f>1-SUM(F2:F4)</f>
        <v>0.73607346415519692</v>
      </c>
      <c r="G5" s="52">
        <f>1-SUM(G2:G4)</f>
        <v>1</v>
      </c>
    </row>
  </sheetData>
  <sheetProtection algorithmName="SHA-512" hashValue="IB7MiHBWLHOD3n7SGNliWu2mGupPPVbe8KE+glKDhHOozsWhuk+He47LNdLk+tDUQGoZE97I8w1Jq70fVdZv9A==" saltValue="YOkiaLUiL7Hr3xSbyfJV+g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90625" defaultRowHeight="12.5" x14ac:dyDescent="0.25"/>
  <cols>
    <col min="1" max="1" width="37" customWidth="1"/>
    <col min="2" max="2" width="29.453125" customWidth="1"/>
  </cols>
  <sheetData>
    <row r="1" spans="1:11" ht="13" customHeight="1" x14ac:dyDescent="0.3">
      <c r="A1" s="4" t="s">
        <v>123</v>
      </c>
      <c r="B1" s="4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9" t="s">
        <v>126</v>
      </c>
      <c r="C2" s="23"/>
      <c r="D2" s="23"/>
      <c r="E2" s="23"/>
      <c r="F2" s="23"/>
      <c r="G2" s="23"/>
      <c r="H2" s="23"/>
      <c r="I2" s="23"/>
      <c r="J2" s="23"/>
      <c r="K2" s="23"/>
    </row>
    <row r="3" spans="1:11" x14ac:dyDescent="0.25">
      <c r="B3" s="9"/>
    </row>
    <row r="4" spans="1:11" x14ac:dyDescent="0.25">
      <c r="A4" t="s">
        <v>127</v>
      </c>
      <c r="B4" s="9" t="s">
        <v>126</v>
      </c>
      <c r="C4" s="23"/>
      <c r="D4" s="23"/>
      <c r="E4" s="23"/>
      <c r="F4" s="23"/>
      <c r="G4" s="23"/>
      <c r="H4" s="23"/>
      <c r="I4" s="23"/>
      <c r="J4" s="23"/>
      <c r="K4" s="23"/>
    </row>
    <row r="5" spans="1:11" x14ac:dyDescent="0.25">
      <c r="B5" s="9"/>
    </row>
    <row r="6" spans="1:11" x14ac:dyDescent="0.25">
      <c r="A6" t="s">
        <v>128</v>
      </c>
      <c r="B6" s="9" t="s">
        <v>126</v>
      </c>
      <c r="C6" s="23"/>
      <c r="D6" s="23"/>
      <c r="E6" s="23"/>
      <c r="F6" s="23"/>
      <c r="G6" s="23"/>
      <c r="H6" s="23"/>
      <c r="I6" s="23"/>
      <c r="J6" s="23"/>
      <c r="K6" s="23"/>
    </row>
    <row r="7" spans="1:11" x14ac:dyDescent="0.25">
      <c r="B7" s="9" t="s">
        <v>90</v>
      </c>
      <c r="C7" s="23"/>
      <c r="D7" s="23"/>
      <c r="E7" s="23"/>
      <c r="F7" s="23"/>
      <c r="G7" s="23"/>
      <c r="H7" s="23"/>
      <c r="I7" s="23"/>
      <c r="J7" s="23"/>
      <c r="K7" s="23"/>
    </row>
    <row r="8" spans="1:11" x14ac:dyDescent="0.25">
      <c r="B8" s="9" t="s">
        <v>129</v>
      </c>
      <c r="C8" s="23"/>
      <c r="D8" s="23"/>
      <c r="E8" s="23"/>
      <c r="F8" s="23"/>
      <c r="G8" s="23"/>
      <c r="H8" s="23"/>
      <c r="I8" s="23"/>
      <c r="J8" s="23"/>
      <c r="K8" s="23"/>
    </row>
    <row r="10" spans="1:11" x14ac:dyDescent="0.25">
      <c r="A10" t="s">
        <v>130</v>
      </c>
      <c r="B10" s="11" t="s">
        <v>131</v>
      </c>
      <c r="C10" s="23"/>
      <c r="D10" s="23"/>
      <c r="E10" s="23"/>
      <c r="F10" s="23"/>
      <c r="G10" s="23"/>
      <c r="H10" s="23"/>
      <c r="I10" s="23"/>
      <c r="J10" s="23"/>
      <c r="K10" s="23"/>
    </row>
    <row r="11" spans="1:11" x14ac:dyDescent="0.25">
      <c r="B11" s="11" t="s">
        <v>132</v>
      </c>
      <c r="C11" s="23"/>
      <c r="D11" s="23"/>
      <c r="E11" s="23"/>
      <c r="F11" s="23"/>
      <c r="G11" s="23"/>
      <c r="H11" s="23"/>
      <c r="I11" s="23"/>
      <c r="J11" s="23"/>
      <c r="K11" s="23"/>
    </row>
    <row r="13" spans="1:11" x14ac:dyDescent="0.25">
      <c r="A13" s="8" t="s">
        <v>32</v>
      </c>
      <c r="B13" s="11" t="s">
        <v>133</v>
      </c>
      <c r="C13" s="23"/>
      <c r="D13" s="23"/>
      <c r="E13" s="23"/>
      <c r="F13" s="23"/>
      <c r="G13" s="23"/>
      <c r="H13" s="23"/>
      <c r="I13" s="23"/>
      <c r="J13" s="23"/>
      <c r="K13" s="23"/>
    </row>
    <row r="14" spans="1:11" x14ac:dyDescent="0.25">
      <c r="B14" s="11" t="s">
        <v>134</v>
      </c>
      <c r="C14" s="23"/>
      <c r="D14" s="23"/>
      <c r="E14" s="23"/>
      <c r="F14" s="23"/>
      <c r="G14" s="23"/>
      <c r="H14" s="23"/>
      <c r="I14" s="23"/>
      <c r="J14" s="23"/>
      <c r="K14" s="23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B5" sqref="B5"/>
    </sheetView>
  </sheetViews>
  <sheetFormatPr defaultRowHeight="12.5" x14ac:dyDescent="0.25"/>
  <cols>
    <col min="1" max="1" width="36.453125" bestFit="1" customWidth="1"/>
    <col min="2" max="2" width="15.36328125" customWidth="1"/>
  </cols>
  <sheetData>
    <row r="1" spans="1:2" ht="13" customHeight="1" x14ac:dyDescent="0.3">
      <c r="A1" s="4" t="s">
        <v>135</v>
      </c>
      <c r="B1" s="4" t="s">
        <v>136</v>
      </c>
    </row>
    <row r="2" spans="1:2" x14ac:dyDescent="0.25">
      <c r="A2" s="8" t="s">
        <v>137</v>
      </c>
      <c r="B2" s="41">
        <v>10</v>
      </c>
    </row>
    <row r="3" spans="1:2" x14ac:dyDescent="0.25">
      <c r="A3" s="8" t="s">
        <v>138</v>
      </c>
      <c r="B3" s="41">
        <v>10</v>
      </c>
    </row>
    <row r="4" spans="1:2" x14ac:dyDescent="0.25">
      <c r="A4" s="8" t="s">
        <v>139</v>
      </c>
      <c r="B4" s="41">
        <v>10</v>
      </c>
    </row>
    <row r="5" spans="1:2" x14ac:dyDescent="0.25">
      <c r="A5" s="8" t="s">
        <v>140</v>
      </c>
      <c r="B5" s="41">
        <v>10</v>
      </c>
    </row>
    <row r="6" spans="1:2" x14ac:dyDescent="0.25">
      <c r="A6" s="8" t="s">
        <v>141</v>
      </c>
      <c r="B6" s="41">
        <v>10</v>
      </c>
    </row>
    <row r="7" spans="1:2" x14ac:dyDescent="0.25">
      <c r="A7" s="8" t="s">
        <v>142</v>
      </c>
      <c r="B7" s="41">
        <v>10</v>
      </c>
    </row>
  </sheetData>
  <sheetProtection algorithmName="SHA-512" hashValue="YTrXHsnirT/bsP+7+uMgpWAhdccKC9Qo1FzXrh2XswY271EWOG0bFZHop7LfSCGKI/uyxD63LS8xZgES2J7SsQ==" saltValue="F9kdn6b4UaX+yMB6vvKJXg==" spinCount="100000" sheet="1" scenarios="1" selectLockedCells="1"/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topLeftCell="A3" zoomScale="115" zoomScaleNormal="115" workbookViewId="0">
      <selection activeCell="D12" sqref="D12:D13"/>
    </sheetView>
  </sheetViews>
  <sheetFormatPr defaultColWidth="11.453125" defaultRowHeight="12.5" x14ac:dyDescent="0.25"/>
  <cols>
    <col min="1" max="1" width="17" style="8" customWidth="1"/>
    <col min="2" max="2" width="19.08984375" style="8" customWidth="1"/>
    <col min="3" max="3" width="13.453125" style="8" customWidth="1"/>
    <col min="4" max="4" width="11.453125" style="8" customWidth="1"/>
    <col min="5" max="16384" width="11.453125" style="8"/>
  </cols>
  <sheetData>
    <row r="1" spans="1:5" ht="13" customHeight="1" x14ac:dyDescent="0.3">
      <c r="A1" s="35" t="s">
        <v>143</v>
      </c>
      <c r="B1" s="36" t="s">
        <v>144</v>
      </c>
      <c r="C1" s="36" t="s">
        <v>145</v>
      </c>
      <c r="D1" s="36" t="s">
        <v>146</v>
      </c>
      <c r="E1" s="36" t="s">
        <v>147</v>
      </c>
    </row>
    <row r="2" spans="1:5" ht="13" customHeight="1" x14ac:dyDescent="0.3">
      <c r="A2" s="34" t="s">
        <v>148</v>
      </c>
      <c r="B2" s="32" t="s">
        <v>90</v>
      </c>
      <c r="C2" s="47"/>
      <c r="D2" s="47"/>
      <c r="E2" s="38" t="str">
        <f>IF(E$7="","",E$7)</f>
        <v/>
      </c>
    </row>
    <row r="3" spans="1:5" x14ac:dyDescent="0.25">
      <c r="B3" s="32" t="s">
        <v>67</v>
      </c>
      <c r="C3" s="47"/>
      <c r="D3" s="47" t="s">
        <v>149</v>
      </c>
      <c r="E3" s="38" t="str">
        <f>IF(E$7="","",E$7)</f>
        <v/>
      </c>
    </row>
    <row r="4" spans="1:5" x14ac:dyDescent="0.25">
      <c r="B4" s="32" t="s">
        <v>77</v>
      </c>
      <c r="C4" s="47"/>
      <c r="D4" s="47" t="s">
        <v>149</v>
      </c>
      <c r="E4" s="38" t="str">
        <f>IF(E$7="","",E$7)</f>
        <v/>
      </c>
    </row>
    <row r="5" spans="1:5" x14ac:dyDescent="0.25">
      <c r="B5" s="32" t="s">
        <v>78</v>
      </c>
      <c r="C5" s="47"/>
      <c r="D5" s="47"/>
      <c r="E5" s="38" t="str">
        <f>IF(E$7="","",E$7)</f>
        <v/>
      </c>
    </row>
    <row r="6" spans="1:5" x14ac:dyDescent="0.25">
      <c r="B6" s="32" t="s">
        <v>79</v>
      </c>
      <c r="C6" s="47"/>
      <c r="D6" s="47"/>
      <c r="E6" s="38" t="str">
        <f>IF(E$7="","",E$7)</f>
        <v/>
      </c>
    </row>
    <row r="7" spans="1:5" x14ac:dyDescent="0.25">
      <c r="B7" s="32" t="s">
        <v>150</v>
      </c>
      <c r="C7" s="31"/>
      <c r="D7" s="30"/>
      <c r="E7" s="47"/>
    </row>
    <row r="9" spans="1:5" ht="13" customHeight="1" x14ac:dyDescent="0.3">
      <c r="A9" s="34" t="s">
        <v>151</v>
      </c>
      <c r="B9" s="32" t="s">
        <v>90</v>
      </c>
      <c r="C9" s="47"/>
      <c r="D9" s="47"/>
      <c r="E9" s="38" t="str">
        <f>IF(E$7="","",E$7)</f>
        <v/>
      </c>
    </row>
    <row r="10" spans="1:5" x14ac:dyDescent="0.25">
      <c r="B10" s="32" t="s">
        <v>67</v>
      </c>
      <c r="C10" s="47"/>
      <c r="D10" s="47"/>
      <c r="E10" s="38" t="str">
        <f>IF(E$7="","",E$7)</f>
        <v/>
      </c>
    </row>
    <row r="11" spans="1:5" x14ac:dyDescent="0.25">
      <c r="B11" s="32" t="s">
        <v>77</v>
      </c>
      <c r="C11" s="47"/>
      <c r="D11" s="47"/>
      <c r="E11" s="38" t="str">
        <f>IF(E$7="","",E$7)</f>
        <v/>
      </c>
    </row>
    <row r="12" spans="1:5" x14ac:dyDescent="0.25">
      <c r="B12" s="32" t="s">
        <v>78</v>
      </c>
      <c r="C12" s="47"/>
      <c r="D12" s="47" t="s">
        <v>149</v>
      </c>
      <c r="E12" s="38" t="str">
        <f>IF(E$7="","",E$7)</f>
        <v/>
      </c>
    </row>
    <row r="13" spans="1:5" x14ac:dyDescent="0.25">
      <c r="B13" s="32" t="s">
        <v>79</v>
      </c>
      <c r="C13" s="47"/>
      <c r="D13" s="47" t="s">
        <v>149</v>
      </c>
      <c r="E13" s="38" t="str">
        <f>IF(E$7="","",E$7)</f>
        <v/>
      </c>
    </row>
    <row r="14" spans="1:5" x14ac:dyDescent="0.25">
      <c r="B14" s="32" t="s">
        <v>150</v>
      </c>
      <c r="C14" s="31"/>
      <c r="D14" s="30"/>
      <c r="E14" s="47"/>
    </row>
    <row r="16" spans="1:5" ht="13" customHeight="1" x14ac:dyDescent="0.3">
      <c r="A16" s="34" t="s">
        <v>152</v>
      </c>
      <c r="B16" s="32" t="s">
        <v>90</v>
      </c>
      <c r="C16" s="47"/>
      <c r="D16" s="47" t="s">
        <v>149</v>
      </c>
      <c r="E16" s="38" t="str">
        <f>IF(E$7="","",E$7)</f>
        <v/>
      </c>
    </row>
    <row r="17" spans="2:5" x14ac:dyDescent="0.25">
      <c r="B17" s="32" t="s">
        <v>67</v>
      </c>
      <c r="C17" s="47"/>
      <c r="D17" s="47" t="s">
        <v>149</v>
      </c>
      <c r="E17" s="38" t="str">
        <f>IF(E$7="","",E$7)</f>
        <v/>
      </c>
    </row>
    <row r="18" spans="2:5" x14ac:dyDescent="0.25">
      <c r="B18" s="32" t="s">
        <v>77</v>
      </c>
      <c r="C18" s="47"/>
      <c r="D18" s="47" t="s">
        <v>149</v>
      </c>
      <c r="E18" s="38" t="str">
        <f>IF(E$7="","",E$7)</f>
        <v/>
      </c>
    </row>
    <row r="19" spans="2:5" x14ac:dyDescent="0.25">
      <c r="B19" s="32" t="s">
        <v>78</v>
      </c>
      <c r="C19" s="47"/>
      <c r="D19" s="47" t="s">
        <v>149</v>
      </c>
      <c r="E19" s="38" t="str">
        <f>IF(E$7="","",E$7)</f>
        <v/>
      </c>
    </row>
    <row r="20" spans="2:5" x14ac:dyDescent="0.25">
      <c r="B20" s="32" t="s">
        <v>79</v>
      </c>
      <c r="C20" s="47"/>
      <c r="D20" s="47" t="s">
        <v>149</v>
      </c>
      <c r="E20" s="38" t="str">
        <f>IF(E$7="","",E$7)</f>
        <v/>
      </c>
    </row>
    <row r="21" spans="2:5" x14ac:dyDescent="0.25">
      <c r="B21" s="32" t="s">
        <v>150</v>
      </c>
      <c r="C21" s="31"/>
      <c r="D21" s="30"/>
      <c r="E21" s="47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90625" defaultRowHeight="12.5" x14ac:dyDescent="0.25"/>
  <cols>
    <col min="1" max="1" width="15.6328125" customWidth="1"/>
    <col min="2" max="2" width="15.453125" customWidth="1"/>
    <col min="3" max="3" width="17.453125" customWidth="1"/>
    <col min="4" max="4" width="12.90625" customWidth="1"/>
  </cols>
  <sheetData>
    <row r="1" spans="1:4" ht="13" customHeight="1" x14ac:dyDescent="0.3">
      <c r="A1" s="39" t="s">
        <v>1</v>
      </c>
      <c r="B1" s="36" t="s">
        <v>153</v>
      </c>
      <c r="C1" s="40" t="s">
        <v>154</v>
      </c>
      <c r="D1" s="40" t="s">
        <v>155</v>
      </c>
    </row>
    <row r="2" spans="1:4" ht="13" customHeight="1" x14ac:dyDescent="0.3">
      <c r="A2" s="40" t="s">
        <v>156</v>
      </c>
      <c r="B2" s="32" t="s">
        <v>157</v>
      </c>
      <c r="C2" s="32" t="s">
        <v>158</v>
      </c>
      <c r="D2" s="47"/>
    </row>
    <row r="3" spans="1:4" ht="13" customHeight="1" x14ac:dyDescent="0.3">
      <c r="A3" s="40" t="s">
        <v>159</v>
      </c>
      <c r="B3" s="32" t="s">
        <v>145</v>
      </c>
      <c r="C3" s="32" t="s">
        <v>160</v>
      </c>
      <c r="D3" s="47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Tharindu Wickramaarachchi</dc:creator>
  <cp:lastModifiedBy>Tharindu Wickramaarachchi</cp:lastModifiedBy>
  <dcterms:created xsi:type="dcterms:W3CDTF">2017-08-01T10:42:13Z</dcterms:created>
  <dcterms:modified xsi:type="dcterms:W3CDTF">2024-03-15T01:41:02Z</dcterms:modified>
</cp:coreProperties>
</file>