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LiST Optima bridge\App\en\"/>
    </mc:Choice>
  </mc:AlternateContent>
  <xr:revisionPtr revIDLastSave="0" documentId="8_{148E8DE9-854F-4C70-BEF2-01A09A967231}" xr6:coauthVersionLast="47" xr6:coauthVersionMax="47" xr10:uidLastSave="{00000000-0000-0000-0000-000000000000}"/>
  <bookViews>
    <workbookView xWindow="-110" yWindow="-110" windowWidth="19420" windowHeight="10420" tabRatio="961" firstSheet="10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G19" i="26"/>
  <c r="D19" i="26"/>
  <c r="C19" i="26"/>
  <c r="G17" i="26"/>
  <c r="F17" i="26"/>
  <c r="E17" i="26"/>
  <c r="C17" i="26"/>
  <c r="F12" i="26"/>
  <c r="C12" i="26"/>
  <c r="G10" i="26"/>
  <c r="F10" i="26"/>
  <c r="E10" i="26"/>
  <c r="C10" i="26"/>
  <c r="G5" i="26"/>
  <c r="G12" i="26" s="1"/>
  <c r="F5" i="26"/>
  <c r="F19" i="26" s="1"/>
  <c r="E5" i="26"/>
  <c r="E12" i="26" s="1"/>
  <c r="D5" i="26"/>
  <c r="D12" i="26" s="1"/>
  <c r="G3" i="26"/>
  <c r="F3" i="26"/>
  <c r="E3" i="26"/>
  <c r="D3" i="26"/>
  <c r="D17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I39" i="2"/>
  <c r="H39" i="2"/>
  <c r="G39" i="2"/>
  <c r="A39" i="2"/>
  <c r="H38" i="2"/>
  <c r="I38" i="2" s="1"/>
  <c r="G38" i="2"/>
  <c r="A37" i="2"/>
  <c r="A35" i="2"/>
  <c r="A34" i="2"/>
  <c r="A33" i="2"/>
  <c r="A32" i="2"/>
  <c r="A29" i="2"/>
  <c r="A27" i="2"/>
  <c r="A26" i="2"/>
  <c r="A25" i="2"/>
  <c r="A24" i="2"/>
  <c r="A21" i="2"/>
  <c r="A19" i="2"/>
  <c r="A18" i="2"/>
  <c r="A17" i="2"/>
  <c r="A16" i="2"/>
  <c r="A13" i="2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36" i="2" s="1"/>
  <c r="C33" i="1"/>
  <c r="C20" i="1"/>
  <c r="A14" i="2" l="1"/>
  <c r="A22" i="2"/>
  <c r="A30" i="2"/>
  <c r="A38" i="2"/>
  <c r="A40" i="2"/>
  <c r="D10" i="26"/>
  <c r="E19" i="26"/>
  <c r="A15" i="2"/>
  <c r="A23" i="2"/>
  <c r="A31" i="2"/>
  <c r="A4" i="2"/>
  <c r="A5" i="2" s="1"/>
  <c r="A6" i="2" s="1"/>
  <c r="A7" i="2" s="1"/>
  <c r="A8" i="2" s="1"/>
  <c r="A9" i="2" s="1"/>
  <c r="A10" i="2" s="1"/>
  <c r="A11" i="2" s="1"/>
  <c r="A12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<sst xmlns="http://schemas.openxmlformats.org/spreadsheetml/2006/main" count="2092" uniqueCount="341">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</sst>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0</v>
      </c>
      <c r="B1" s="29" t="s">
        <v>1</v>
      </c>
      <c r="C1" s="29" t="s">
        <v>2</v>
      </c>
    </row>
    <row r="2" spans="1:3" ht="15.9" customHeight="1" x14ac:dyDescent="0.3">
      <c r="A2" s="8" t="s">
        <v>3</v>
      </c>
      <c r="B2" s="29"/>
      <c r="C2" s="29"/>
    </row>
    <row r="3" spans="1:3" ht="15.9" customHeight="1" x14ac:dyDescent="0.3">
      <c r="A3" s="1"/>
      <c r="B3" s="5" t="s">
        <v>4</v>
      </c>
      <c r="C3" s="41">
        <v>2021</v>
      </c>
    </row>
    <row r="4" spans="1:3" ht="15.9" customHeight="1" x14ac:dyDescent="0.3">
      <c r="A4" s="1"/>
      <c r="B4" s="5" t="s">
        <v>5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101885.40625</v>
      </c>
    </row>
    <row r="8" spans="1:3" ht="15" customHeight="1" x14ac:dyDescent="0.25">
      <c r="B8" s="5" t="s">
        <v>8</v>
      </c>
      <c r="C8" s="44">
        <v>0.251</v>
      </c>
    </row>
    <row r="9" spans="1:3" ht="15" customHeight="1" x14ac:dyDescent="0.25">
      <c r="B9" s="5" t="s">
        <v>9</v>
      </c>
      <c r="C9" s="45">
        <v>0.01</v>
      </c>
    </row>
    <row r="10" spans="1:3" ht="15" customHeight="1" x14ac:dyDescent="0.25">
      <c r="B10" s="5" t="s">
        <v>10</v>
      </c>
      <c r="C10" s="45">
        <v>0.81408699039999999</v>
      </c>
    </row>
    <row r="11" spans="1:3" ht="15" customHeight="1" x14ac:dyDescent="0.25">
      <c r="B11" s="5" t="s">
        <v>11</v>
      </c>
      <c r="C11" s="45">
        <v>0.68900000000000006</v>
      </c>
    </row>
    <row r="12" spans="1:3" ht="15" customHeight="1" x14ac:dyDescent="0.25">
      <c r="B12" s="5" t="s">
        <v>12</v>
      </c>
      <c r="C12" s="45">
        <v>0.79</v>
      </c>
    </row>
    <row r="13" spans="1:3" ht="15" customHeight="1" x14ac:dyDescent="0.25">
      <c r="B13" s="5" t="s">
        <v>13</v>
      </c>
      <c r="C13" s="45">
        <v>0.62</v>
      </c>
    </row>
    <row r="14" spans="1:3" ht="15" customHeight="1" x14ac:dyDescent="0.25">
      <c r="B14" s="8"/>
    </row>
    <row r="15" spans="1:3" ht="15" customHeight="1" x14ac:dyDescent="0.3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7.0400000000000004E-2</v>
      </c>
    </row>
    <row r="24" spans="1:3" ht="15" customHeight="1" x14ac:dyDescent="0.25">
      <c r="B24" s="15" t="s">
        <v>22</v>
      </c>
      <c r="C24" s="45">
        <v>0.48080000000000001</v>
      </c>
    </row>
    <row r="25" spans="1:3" ht="15" customHeight="1" x14ac:dyDescent="0.25">
      <c r="B25" s="15" t="s">
        <v>23</v>
      </c>
      <c r="C25" s="45">
        <v>0.35560000000000003</v>
      </c>
    </row>
    <row r="26" spans="1:3" ht="15" customHeight="1" x14ac:dyDescent="0.25">
      <c r="B26" s="15" t="s">
        <v>24</v>
      </c>
      <c r="C26" s="45">
        <v>9.3200000000000005E-2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0.22272866450000001</v>
      </c>
    </row>
    <row r="30" spans="1:3" ht="14.25" customHeight="1" x14ac:dyDescent="0.25">
      <c r="B30" s="25" t="s">
        <v>27</v>
      </c>
      <c r="C30" s="99">
        <v>0.11672141079999999</v>
      </c>
    </row>
    <row r="31" spans="1:3" ht="14.25" customHeight="1" x14ac:dyDescent="0.25">
      <c r="B31" s="25" t="s">
        <v>28</v>
      </c>
      <c r="C31" s="99">
        <v>0.1612750433</v>
      </c>
    </row>
    <row r="32" spans="1:3" ht="14.25" customHeight="1" x14ac:dyDescent="0.25">
      <c r="B32" s="25" t="s">
        <v>29</v>
      </c>
      <c r="C32" s="99">
        <v>0.49927488139999998</v>
      </c>
    </row>
    <row r="33" spans="1:5" ht="13" customHeight="1" x14ac:dyDescent="0.25">
      <c r="B33" s="27" t="s">
        <v>30</v>
      </c>
      <c r="C33" s="48">
        <f>SUM(C29:C32)</f>
        <v>1</v>
      </c>
    </row>
    <row r="34" spans="1:5" ht="15" customHeight="1" x14ac:dyDescent="0.25"/>
    <row r="35" spans="1:5" ht="15" customHeight="1" x14ac:dyDescent="0.3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8.2313988469173704</v>
      </c>
    </row>
    <row r="38" spans="1:5" ht="15" customHeight="1" x14ac:dyDescent="0.25">
      <c r="B38" s="11" t="s">
        <v>34</v>
      </c>
      <c r="C38" s="43">
        <v>16.821474809943801</v>
      </c>
      <c r="D38" s="12"/>
      <c r="E38" s="13"/>
    </row>
    <row r="39" spans="1:5" ht="15" customHeight="1" x14ac:dyDescent="0.25">
      <c r="B39" s="11" t="s">
        <v>35</v>
      </c>
      <c r="C39" s="43">
        <v>19.668042471982101</v>
      </c>
      <c r="D39" s="12"/>
      <c r="E39" s="12"/>
    </row>
    <row r="40" spans="1:5" ht="15" customHeight="1" x14ac:dyDescent="0.25">
      <c r="B40" s="11" t="s">
        <v>36</v>
      </c>
      <c r="C40" s="100">
        <v>1.04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10.06249378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6.1034000000000001E-3</v>
      </c>
      <c r="D45" s="12"/>
    </row>
    <row r="46" spans="1:5" ht="15.75" customHeight="1" x14ac:dyDescent="0.25">
      <c r="B46" s="11" t="s">
        <v>41</v>
      </c>
      <c r="C46" s="45">
        <v>7.2153300000000004E-2</v>
      </c>
      <c r="D46" s="12"/>
    </row>
    <row r="47" spans="1:5" ht="15.75" customHeight="1" x14ac:dyDescent="0.25">
      <c r="B47" s="11" t="s">
        <v>42</v>
      </c>
      <c r="C47" s="45">
        <v>8.8595699999999999E-2</v>
      </c>
      <c r="D47" s="12"/>
      <c r="E47" s="13"/>
    </row>
    <row r="48" spans="1:5" ht="15" customHeight="1" x14ac:dyDescent="0.25">
      <c r="B48" s="11" t="s">
        <v>43</v>
      </c>
      <c r="C48" s="46">
        <v>0.8331476000000001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2.2000000000000002</v>
      </c>
      <c r="D51" s="12"/>
    </row>
    <row r="52" spans="1:4" ht="15" customHeight="1" x14ac:dyDescent="0.25">
      <c r="B52" s="11" t="s">
        <v>46</v>
      </c>
      <c r="C52" s="100">
        <v>2.2000000000000002</v>
      </c>
    </row>
    <row r="53" spans="1:4" ht="15.75" customHeight="1" x14ac:dyDescent="0.25">
      <c r="B53" s="11" t="s">
        <v>47</v>
      </c>
      <c r="C53" s="100">
        <v>2.2000000000000002</v>
      </c>
    </row>
    <row r="54" spans="1:4" ht="15.75" customHeight="1" x14ac:dyDescent="0.25">
      <c r="B54" s="11" t="s">
        <v>48</v>
      </c>
      <c r="C54" s="100">
        <v>2.2000000000000002</v>
      </c>
    </row>
    <row r="55" spans="1:4" ht="15.75" customHeight="1" x14ac:dyDescent="0.25">
      <c r="B55" s="11" t="s">
        <v>49</v>
      </c>
      <c r="C55" s="100">
        <v>2.2000000000000002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2.1363636363636359E-2</v>
      </c>
    </row>
    <row r="59" spans="1:4" ht="15.75" customHeight="1" x14ac:dyDescent="0.25">
      <c r="B59" s="11" t="s">
        <v>52</v>
      </c>
      <c r="C59" s="45">
        <v>0.54101599999999994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0.14599999999999999</v>
      </c>
    </row>
    <row r="63" spans="1:4" ht="15.75" customHeight="1" x14ac:dyDescent="0.3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17531.245200000001</v>
      </c>
      <c r="C2" s="49">
        <v>35000</v>
      </c>
      <c r="D2" s="49">
        <v>55000</v>
      </c>
      <c r="E2" s="49">
        <v>905000</v>
      </c>
      <c r="F2" s="49">
        <v>588000</v>
      </c>
      <c r="G2" s="17">
        <f t="shared" ref="G2:G11" si="0">C2+D2+E2+F2</f>
        <v>1583000</v>
      </c>
      <c r="H2" s="17">
        <f t="shared" ref="H2:H11" si="1">(B2 + stillbirth*B2/(1000-stillbirth))/(1-abortion)</f>
        <v>20124.370902487237</v>
      </c>
      <c r="I2" s="17">
        <f t="shared" ref="I2:I11" si="2">G2-H2</f>
        <v>1562875.6290975127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17678.707200000001</v>
      </c>
      <c r="C3" s="50">
        <v>35000</v>
      </c>
      <c r="D3" s="50">
        <v>57000</v>
      </c>
      <c r="E3" s="50">
        <v>939000</v>
      </c>
      <c r="F3" s="50">
        <v>605000</v>
      </c>
      <c r="G3" s="17">
        <f t="shared" si="0"/>
        <v>1636000</v>
      </c>
      <c r="H3" s="17">
        <f t="shared" si="1"/>
        <v>20293.644673298601</v>
      </c>
      <c r="I3" s="17">
        <f t="shared" si="2"/>
        <v>1615706.3553267014</v>
      </c>
    </row>
    <row r="4" spans="1:9" ht="15.75" customHeight="1" x14ac:dyDescent="0.25">
      <c r="A4" s="5">
        <f t="shared" si="3"/>
        <v>2023</v>
      </c>
      <c r="B4" s="49">
        <v>17792.481599999999</v>
      </c>
      <c r="C4" s="50">
        <v>36000</v>
      </c>
      <c r="D4" s="50">
        <v>57000</v>
      </c>
      <c r="E4" s="50">
        <v>975000</v>
      </c>
      <c r="F4" s="50">
        <v>624000</v>
      </c>
      <c r="G4" s="17">
        <f t="shared" si="0"/>
        <v>1692000</v>
      </c>
      <c r="H4" s="17">
        <f t="shared" si="1"/>
        <v>20424.247958957276</v>
      </c>
      <c r="I4" s="17">
        <f t="shared" si="2"/>
        <v>1671575.7520410428</v>
      </c>
    </row>
    <row r="5" spans="1:9" ht="15.75" customHeight="1" x14ac:dyDescent="0.25">
      <c r="A5" s="5">
        <f t="shared" si="3"/>
        <v>2024</v>
      </c>
      <c r="B5" s="49">
        <v>17899.171200000001</v>
      </c>
      <c r="C5" s="50">
        <v>37000</v>
      </c>
      <c r="D5" s="50">
        <v>59000</v>
      </c>
      <c r="E5" s="50">
        <v>1012000</v>
      </c>
      <c r="F5" s="50">
        <v>645000</v>
      </c>
      <c r="G5" s="17">
        <f t="shared" si="0"/>
        <v>1753000</v>
      </c>
      <c r="H5" s="17">
        <f t="shared" si="1"/>
        <v>20546.718499831237</v>
      </c>
      <c r="I5" s="17">
        <f t="shared" si="2"/>
        <v>1732453.2815001688</v>
      </c>
    </row>
    <row r="6" spans="1:9" ht="15.75" customHeight="1" x14ac:dyDescent="0.25">
      <c r="A6" s="5">
        <f t="shared" si="3"/>
        <v>2025</v>
      </c>
      <c r="B6" s="49">
        <v>18024.198</v>
      </c>
      <c r="C6" s="50">
        <v>37000</v>
      </c>
      <c r="D6" s="50">
        <v>61000</v>
      </c>
      <c r="E6" s="50">
        <v>1052000</v>
      </c>
      <c r="F6" s="50">
        <v>667000</v>
      </c>
      <c r="G6" s="17">
        <f t="shared" si="0"/>
        <v>1817000</v>
      </c>
      <c r="H6" s="17">
        <f t="shared" si="1"/>
        <v>20690.238578824319</v>
      </c>
      <c r="I6" s="17">
        <f t="shared" si="2"/>
        <v>1796309.7614211757</v>
      </c>
    </row>
    <row r="7" spans="1:9" ht="15.75" customHeight="1" x14ac:dyDescent="0.25">
      <c r="A7" s="5">
        <f t="shared" si="3"/>
        <v>2026</v>
      </c>
      <c r="B7" s="49">
        <v>18169.488399999998</v>
      </c>
      <c r="C7" s="50">
        <v>38000</v>
      </c>
      <c r="D7" s="50">
        <v>63000</v>
      </c>
      <c r="E7" s="50">
        <v>1093000</v>
      </c>
      <c r="F7" s="50">
        <v>693000</v>
      </c>
      <c r="G7" s="17">
        <f t="shared" si="0"/>
        <v>1887000</v>
      </c>
      <c r="H7" s="17">
        <f t="shared" si="1"/>
        <v>20857.019538466062</v>
      </c>
      <c r="I7" s="17">
        <f t="shared" si="2"/>
        <v>1866142.9804615339</v>
      </c>
    </row>
    <row r="8" spans="1:9" ht="15.75" customHeight="1" x14ac:dyDescent="0.25">
      <c r="A8" s="5">
        <f t="shared" si="3"/>
        <v>2027</v>
      </c>
      <c r="B8" s="49">
        <v>18334.439200000001</v>
      </c>
      <c r="C8" s="50">
        <v>38000</v>
      </c>
      <c r="D8" s="50">
        <v>64000</v>
      </c>
      <c r="E8" s="50">
        <v>1136000</v>
      </c>
      <c r="F8" s="50">
        <v>719000</v>
      </c>
      <c r="G8" s="17">
        <f t="shared" si="0"/>
        <v>1957000</v>
      </c>
      <c r="H8" s="17">
        <f t="shared" si="1"/>
        <v>21046.368956718565</v>
      </c>
      <c r="I8" s="17">
        <f t="shared" si="2"/>
        <v>1935953.6310432814</v>
      </c>
    </row>
    <row r="9" spans="1:9" ht="15.75" customHeight="1" x14ac:dyDescent="0.25">
      <c r="A9" s="5">
        <f t="shared" si="3"/>
        <v>2028</v>
      </c>
      <c r="B9" s="49">
        <v>18493.628400000001</v>
      </c>
      <c r="C9" s="50">
        <v>38000</v>
      </c>
      <c r="D9" s="50">
        <v>65000</v>
      </c>
      <c r="E9" s="50">
        <v>1180000</v>
      </c>
      <c r="F9" s="50">
        <v>748000</v>
      </c>
      <c r="G9" s="17">
        <f t="shared" si="0"/>
        <v>2031000</v>
      </c>
      <c r="H9" s="17">
        <f t="shared" si="1"/>
        <v>21229.104550677985</v>
      </c>
      <c r="I9" s="17">
        <f t="shared" si="2"/>
        <v>2009770.8954493219</v>
      </c>
    </row>
    <row r="10" spans="1:9" ht="15.75" customHeight="1" x14ac:dyDescent="0.25">
      <c r="A10" s="5">
        <f t="shared" si="3"/>
        <v>2029</v>
      </c>
      <c r="B10" s="49">
        <v>18647.056</v>
      </c>
      <c r="C10" s="50">
        <v>39000</v>
      </c>
      <c r="D10" s="50">
        <v>67000</v>
      </c>
      <c r="E10" s="50">
        <v>1225000</v>
      </c>
      <c r="F10" s="50">
        <v>778000</v>
      </c>
      <c r="G10" s="17">
        <f t="shared" si="0"/>
        <v>2109000</v>
      </c>
      <c r="H10" s="17">
        <f t="shared" si="1"/>
        <v>21405.226320344322</v>
      </c>
      <c r="I10" s="17">
        <f t="shared" si="2"/>
        <v>2087594.7736796557</v>
      </c>
    </row>
    <row r="11" spans="1:9" ht="15.75" customHeight="1" x14ac:dyDescent="0.25">
      <c r="A11" s="5">
        <f t="shared" si="3"/>
        <v>2030</v>
      </c>
      <c r="B11" s="49">
        <v>18794.722000000002</v>
      </c>
      <c r="C11" s="50">
        <v>39000</v>
      </c>
      <c r="D11" s="50">
        <v>68000</v>
      </c>
      <c r="E11" s="50">
        <v>1271000</v>
      </c>
      <c r="F11" s="50">
        <v>810000</v>
      </c>
      <c r="G11" s="17">
        <f t="shared" si="0"/>
        <v>2188000</v>
      </c>
      <c r="H11" s="17">
        <f t="shared" si="1"/>
        <v>21574.734265717572</v>
      </c>
      <c r="I11" s="17">
        <f t="shared" si="2"/>
        <v>2166425.2657342823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(2021) attributable to cause</v>
      </c>
      <c r="B1" s="29"/>
      <c r="C1" s="29"/>
      <c r="D1" s="29"/>
      <c r="E1" s="29"/>
      <c r="F1" s="29"/>
    </row>
    <row r="2" spans="1:8" ht="27.75" customHeight="1" x14ac:dyDescent="0.3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3.7070744212857679E-3</v>
      </c>
    </row>
    <row r="4" spans="1:8" ht="15.75" customHeight="1" x14ac:dyDescent="0.25">
      <c r="B4" s="19" t="s">
        <v>69</v>
      </c>
      <c r="C4" s="101">
        <v>0.1394976607664126</v>
      </c>
    </row>
    <row r="5" spans="1:8" ht="15.75" customHeight="1" x14ac:dyDescent="0.25">
      <c r="B5" s="19" t="s">
        <v>70</v>
      </c>
      <c r="C5" s="101">
        <v>5.7415039253705571E-2</v>
      </c>
    </row>
    <row r="6" spans="1:8" ht="15.75" customHeight="1" x14ac:dyDescent="0.25">
      <c r="B6" s="19" t="s">
        <v>71</v>
      </c>
      <c r="C6" s="101">
        <v>0.23052996022088171</v>
      </c>
    </row>
    <row r="7" spans="1:8" ht="15.75" customHeight="1" x14ac:dyDescent="0.25">
      <c r="B7" s="19" t="s">
        <v>72</v>
      </c>
      <c r="C7" s="101">
        <v>0.3115882245074395</v>
      </c>
    </row>
    <row r="8" spans="1:8" ht="15.75" customHeight="1" x14ac:dyDescent="0.25">
      <c r="B8" s="19" t="s">
        <v>73</v>
      </c>
      <c r="C8" s="101">
        <v>2.9533757551172672E-3</v>
      </c>
    </row>
    <row r="9" spans="1:8" ht="15.75" customHeight="1" x14ac:dyDescent="0.25">
      <c r="B9" s="19" t="s">
        <v>74</v>
      </c>
      <c r="C9" s="101">
        <v>0.18015935363806429</v>
      </c>
    </row>
    <row r="10" spans="1:8" ht="15.75" customHeight="1" x14ac:dyDescent="0.25">
      <c r="B10" s="19" t="s">
        <v>75</v>
      </c>
      <c r="C10" s="101">
        <v>7.4149311437093163E-2</v>
      </c>
    </row>
    <row r="11" spans="1:8" ht="15.75" customHeight="1" x14ac:dyDescent="0.25">
      <c r="B11" s="27" t="s">
        <v>30</v>
      </c>
      <c r="C11" s="48">
        <f>SUM(C3:C10)</f>
        <v>0.99999999999999989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0.123119208994277</v>
      </c>
      <c r="D14" s="55">
        <v>0.123119208994277</v>
      </c>
      <c r="E14" s="55">
        <v>0.123119208994277</v>
      </c>
      <c r="F14" s="55">
        <v>0.123119208994277</v>
      </c>
    </row>
    <row r="15" spans="1:8" ht="15.75" customHeight="1" x14ac:dyDescent="0.25">
      <c r="B15" s="19" t="s">
        <v>82</v>
      </c>
      <c r="C15" s="101">
        <v>0.19589750038172221</v>
      </c>
      <c r="D15" s="101">
        <v>0.19589750038172221</v>
      </c>
      <c r="E15" s="101">
        <v>0.19589750038172221</v>
      </c>
      <c r="F15" s="101">
        <v>0.19589750038172221</v>
      </c>
    </row>
    <row r="16" spans="1:8" ht="15.75" customHeight="1" x14ac:dyDescent="0.25">
      <c r="B16" s="19" t="s">
        <v>83</v>
      </c>
      <c r="C16" s="101">
        <v>2.076683909880999E-2</v>
      </c>
      <c r="D16" s="101">
        <v>2.076683909880999E-2</v>
      </c>
      <c r="E16" s="101">
        <v>2.076683909880999E-2</v>
      </c>
      <c r="F16" s="101">
        <v>2.076683909880999E-2</v>
      </c>
    </row>
    <row r="17" spans="1:8" ht="15.75" customHeight="1" x14ac:dyDescent="0.25">
      <c r="B17" s="19" t="s">
        <v>84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85</v>
      </c>
      <c r="C18" s="101">
        <v>0.1057692302563011</v>
      </c>
      <c r="D18" s="101">
        <v>0.1057692302563011</v>
      </c>
      <c r="E18" s="101">
        <v>0.1057692302563011</v>
      </c>
      <c r="F18" s="101">
        <v>0.1057692302563011</v>
      </c>
    </row>
    <row r="19" spans="1:8" ht="15.75" customHeight="1" x14ac:dyDescent="0.25">
      <c r="B19" s="19" t="s">
        <v>86</v>
      </c>
      <c r="C19" s="101">
        <v>5.9979071498551292E-2</v>
      </c>
      <c r="D19" s="101">
        <v>5.9979071498551292E-2</v>
      </c>
      <c r="E19" s="101">
        <v>5.9979071498551292E-2</v>
      </c>
      <c r="F19" s="101">
        <v>5.9979071498551292E-2</v>
      </c>
    </row>
    <row r="20" spans="1:8" ht="15.75" customHeight="1" x14ac:dyDescent="0.25">
      <c r="B20" s="19" t="s">
        <v>87</v>
      </c>
      <c r="C20" s="101">
        <v>0</v>
      </c>
      <c r="D20" s="101">
        <v>0</v>
      </c>
      <c r="E20" s="101">
        <v>0</v>
      </c>
      <c r="F20" s="101">
        <v>0</v>
      </c>
    </row>
    <row r="21" spans="1:8" ht="15.75" customHeight="1" x14ac:dyDescent="0.25">
      <c r="B21" s="19" t="s">
        <v>88</v>
      </c>
      <c r="C21" s="101">
        <v>0.14774738296138121</v>
      </c>
      <c r="D21" s="101">
        <v>0.14774738296138121</v>
      </c>
      <c r="E21" s="101">
        <v>0.14774738296138121</v>
      </c>
      <c r="F21" s="101">
        <v>0.14774738296138121</v>
      </c>
    </row>
    <row r="22" spans="1:8" ht="15.75" customHeight="1" x14ac:dyDescent="0.25">
      <c r="B22" s="19" t="s">
        <v>89</v>
      </c>
      <c r="C22" s="101">
        <v>0.3467207668089573</v>
      </c>
      <c r="D22" s="101">
        <v>0.3467207668089573</v>
      </c>
      <c r="E22" s="101">
        <v>0.3467207668089573</v>
      </c>
      <c r="F22" s="101">
        <v>0.3467207668089573</v>
      </c>
    </row>
    <row r="23" spans="1:8" ht="15.75" customHeight="1" x14ac:dyDescent="0.25">
      <c r="B23" s="27" t="s">
        <v>30</v>
      </c>
      <c r="C23" s="48">
        <f>SUM(C14:C22)</f>
        <v>1.0000000000000002</v>
      </c>
      <c r="D23" s="48">
        <f>SUM(D14:D22)</f>
        <v>1.0000000000000002</v>
      </c>
      <c r="E23" s="48">
        <f>SUM(E14:E22)</f>
        <v>1.0000000000000002</v>
      </c>
      <c r="F23" s="48">
        <f>SUM(F14:F22)</f>
        <v>1.0000000000000002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4.7769731000000003E-2</v>
      </c>
    </row>
    <row r="27" spans="1:8" ht="15.75" customHeight="1" x14ac:dyDescent="0.25">
      <c r="B27" s="19" t="s">
        <v>92</v>
      </c>
      <c r="C27" s="101">
        <v>1.8843999E-2</v>
      </c>
    </row>
    <row r="28" spans="1:8" ht="15.75" customHeight="1" x14ac:dyDescent="0.25">
      <c r="B28" s="19" t="s">
        <v>93</v>
      </c>
      <c r="C28" s="101">
        <v>0.22958879300000001</v>
      </c>
    </row>
    <row r="29" spans="1:8" ht="15.75" customHeight="1" x14ac:dyDescent="0.25">
      <c r="B29" s="19" t="s">
        <v>94</v>
      </c>
      <c r="C29" s="101">
        <v>0.13888713499999999</v>
      </c>
    </row>
    <row r="30" spans="1:8" ht="15.75" customHeight="1" x14ac:dyDescent="0.25">
      <c r="B30" s="19" t="s">
        <v>95</v>
      </c>
      <c r="C30" s="101">
        <v>5.0046261000000002E-2</v>
      </c>
    </row>
    <row r="31" spans="1:8" ht="15.75" customHeight="1" x14ac:dyDescent="0.25">
      <c r="B31" s="19" t="s">
        <v>96</v>
      </c>
      <c r="C31" s="101">
        <v>7.1139825000000018E-2</v>
      </c>
    </row>
    <row r="32" spans="1:8" ht="15.75" customHeight="1" x14ac:dyDescent="0.25">
      <c r="B32" s="19" t="s">
        <v>97</v>
      </c>
      <c r="C32" s="101">
        <v>0.14767061300000001</v>
      </c>
    </row>
    <row r="33" spans="2:3" ht="15.75" customHeight="1" x14ac:dyDescent="0.25">
      <c r="B33" s="19" t="s">
        <v>98</v>
      </c>
      <c r="C33" s="101">
        <v>0.123389649</v>
      </c>
    </row>
    <row r="34" spans="2:3" ht="15.75" customHeight="1" x14ac:dyDescent="0.25">
      <c r="B34" s="19" t="s">
        <v>99</v>
      </c>
      <c r="C34" s="101">
        <v>0.17266399499999999</v>
      </c>
    </row>
    <row r="35" spans="2:3" ht="15.75" customHeight="1" x14ac:dyDescent="0.25">
      <c r="B35" s="27" t="s">
        <v>30</v>
      </c>
      <c r="C35" s="48">
        <f>SUM(C26:C34)</f>
        <v>1.0000000010000001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0.475058054954691</v>
      </c>
      <c r="D2" s="52">
        <f>IFERROR(1-_xlfn.NORM.DIST(_xlfn.NORM.INV(SUM(D4:D5), 0, 1) + 1, 0, 1, TRUE), "")</f>
        <v>0.475058054954691</v>
      </c>
      <c r="E2" s="52">
        <f>IFERROR(1-_xlfn.NORM.DIST(_xlfn.NORM.INV(SUM(E4:E5), 0, 1) + 1, 0, 1, TRUE), "")</f>
        <v>0.43360856792538005</v>
      </c>
      <c r="F2" s="52">
        <f>IFERROR(1-_xlfn.NORM.DIST(_xlfn.NORM.INV(SUM(F4:F5), 0, 1) + 1, 0, 1, TRUE), "")</f>
        <v>0.25352656323337064</v>
      </c>
      <c r="G2" s="52">
        <f>IFERROR(1-_xlfn.NORM.DIST(_xlfn.NORM.INV(SUM(G4:G5), 0, 1) + 1, 0, 1, TRUE), "")</f>
        <v>0.2216194680768302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0.35067555891294439</v>
      </c>
      <c r="D3" s="52">
        <f>IFERROR(_xlfn.NORM.DIST(_xlfn.NORM.INV(SUM(D4:D5), 0, 1) + 1, 0, 1, TRUE) - SUM(D4:D5), "")</f>
        <v>0.35067555891294439</v>
      </c>
      <c r="E3" s="52">
        <f>IFERROR(_xlfn.NORM.DIST(_xlfn.NORM.INV(SUM(E4:E5), 0, 1) + 1, 0, 1, TRUE) - SUM(E4:E5), "")</f>
        <v>0.36391426034255342</v>
      </c>
      <c r="F3" s="52">
        <f>IFERROR(_xlfn.NORM.DIST(_xlfn.NORM.INV(SUM(F4:F5), 0, 1) + 1, 0, 1, TRUE) - SUM(F4:F5), "")</f>
        <v>0.3782516801061524</v>
      </c>
      <c r="G3" s="52">
        <f>IFERROR(_xlfn.NORM.DIST(_xlfn.NORM.INV(SUM(G4:G5), 0, 1) + 1, 0, 1, TRUE) - SUM(G4:G5), "")</f>
        <v>0.37060261428526581</v>
      </c>
    </row>
    <row r="4" spans="1:15" ht="15.75" customHeight="1" x14ac:dyDescent="0.25">
      <c r="B4" s="5" t="s">
        <v>104</v>
      </c>
      <c r="C4" s="45">
        <v>0.10193014049492501</v>
      </c>
      <c r="D4" s="53">
        <v>0.10193014049492501</v>
      </c>
      <c r="E4" s="53">
        <v>0.12596887628672501</v>
      </c>
      <c r="F4" s="53">
        <v>0.21533782150803599</v>
      </c>
      <c r="G4" s="53">
        <v>0.23684384633384001</v>
      </c>
    </row>
    <row r="5" spans="1:15" ht="15.75" customHeight="1" x14ac:dyDescent="0.25">
      <c r="B5" s="5" t="s">
        <v>105</v>
      </c>
      <c r="C5" s="45">
        <v>7.2336245637439595E-2</v>
      </c>
      <c r="D5" s="53">
        <v>7.2336245637439595E-2</v>
      </c>
      <c r="E5" s="53">
        <v>7.6508295445341504E-2</v>
      </c>
      <c r="F5" s="53">
        <v>0.152883935152441</v>
      </c>
      <c r="G5" s="53">
        <v>0.17093407130406399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0.53956333682015789</v>
      </c>
      <c r="D8" s="52">
        <f>IFERROR(1-_xlfn.NORM.DIST(_xlfn.NORM.INV(SUM(D10:D11), 0, 1) + 1, 0, 1, TRUE), "")</f>
        <v>0.53956333682015789</v>
      </c>
      <c r="E8" s="52">
        <f>IFERROR(1-_xlfn.NORM.DIST(_xlfn.NORM.INV(SUM(E10:E11), 0, 1) + 1, 0, 1, TRUE), "")</f>
        <v>0.55371068519441824</v>
      </c>
      <c r="F8" s="52">
        <f>IFERROR(1-_xlfn.NORM.DIST(_xlfn.NORM.INV(SUM(F10:F11), 0, 1) + 1, 0, 1, TRUE), "")</f>
        <v>0.57179989067807235</v>
      </c>
      <c r="G8" s="52">
        <f>IFERROR(1-_xlfn.NORM.DIST(_xlfn.NORM.INV(SUM(G10:G11), 0, 1) + 1, 0, 1, TRUE), "")</f>
        <v>0.6480988115395635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0.3246253929329358</v>
      </c>
      <c r="D9" s="52">
        <f>IFERROR(_xlfn.NORM.DIST(_xlfn.NORM.INV(SUM(D10:D11), 0, 1) + 1, 0, 1, TRUE) - SUM(D10:D11), "")</f>
        <v>0.3246253929329358</v>
      </c>
      <c r="E9" s="52">
        <f>IFERROR(_xlfn.NORM.DIST(_xlfn.NORM.INV(SUM(E10:E11), 0, 1) + 1, 0, 1, TRUE) - SUM(E10:E11), "")</f>
        <v>0.31811046421017597</v>
      </c>
      <c r="F9" s="52">
        <f>IFERROR(_xlfn.NORM.DIST(_xlfn.NORM.INV(SUM(F10:F11), 0, 1) + 1, 0, 1, TRUE) - SUM(F10:F11), "")</f>
        <v>0.30939048710722616</v>
      </c>
      <c r="G9" s="52">
        <f>IFERROR(_xlfn.NORM.DIST(_xlfn.NORM.INV(SUM(G10:G11), 0, 1) + 1, 0, 1, TRUE) - SUM(G10:G11), "")</f>
        <v>0.26813752809433844</v>
      </c>
    </row>
    <row r="10" spans="1:15" ht="15.75" customHeight="1" x14ac:dyDescent="0.25">
      <c r="B10" s="5" t="s">
        <v>109</v>
      </c>
      <c r="C10" s="45">
        <v>8.3412722396723607E-2</v>
      </c>
      <c r="D10" s="53">
        <v>8.3412722396723607E-2</v>
      </c>
      <c r="E10" s="53">
        <v>8.7488805103706199E-2</v>
      </c>
      <c r="F10" s="53">
        <v>8.4725683809968408E-2</v>
      </c>
      <c r="G10" s="53">
        <v>6.2665159698191295E-2</v>
      </c>
    </row>
    <row r="11" spans="1:15" ht="15.75" customHeight="1" x14ac:dyDescent="0.25">
      <c r="B11" s="5" t="s">
        <v>110</v>
      </c>
      <c r="C11" s="45">
        <v>5.2398547850182699E-2</v>
      </c>
      <c r="D11" s="53">
        <v>5.2398547850182699E-2</v>
      </c>
      <c r="E11" s="53">
        <v>4.0690045491699599E-2</v>
      </c>
      <c r="F11" s="53">
        <v>3.4083938404733102E-2</v>
      </c>
      <c r="G11" s="53">
        <v>2.1098500667906799E-2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0.61941419899999994</v>
      </c>
      <c r="D14" s="54">
        <v>0.61082815785800004</v>
      </c>
      <c r="E14" s="54">
        <v>0.61082815785800004</v>
      </c>
      <c r="F14" s="54">
        <v>0.46499616867100002</v>
      </c>
      <c r="G14" s="54">
        <v>0.46499616867100002</v>
      </c>
      <c r="H14" s="45">
        <v>0.48599999999999999</v>
      </c>
      <c r="I14" s="55">
        <v>0.48599999999999999</v>
      </c>
      <c r="J14" s="55">
        <v>0.48599999999999999</v>
      </c>
      <c r="K14" s="55">
        <v>0.48599999999999999</v>
      </c>
      <c r="L14" s="45">
        <v>0.38200000000000001</v>
      </c>
      <c r="M14" s="55">
        <v>0.38200000000000001</v>
      </c>
      <c r="N14" s="55">
        <v>0.38200000000000001</v>
      </c>
      <c r="O14" s="55">
        <v>0.38200000000000001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0.33511299228618391</v>
      </c>
      <c r="D15" s="52">
        <f t="shared" si="0"/>
        <v>0.33046780665170372</v>
      </c>
      <c r="E15" s="52">
        <f t="shared" si="0"/>
        <v>0.33046780665170372</v>
      </c>
      <c r="F15" s="52">
        <f t="shared" si="0"/>
        <v>0.25157036718970971</v>
      </c>
      <c r="G15" s="52">
        <f t="shared" si="0"/>
        <v>0.25157036718970971</v>
      </c>
      <c r="H15" s="52">
        <f t="shared" si="0"/>
        <v>0.26293377599999995</v>
      </c>
      <c r="I15" s="52">
        <f t="shared" si="0"/>
        <v>0.26293377599999995</v>
      </c>
      <c r="J15" s="52">
        <f t="shared" si="0"/>
        <v>0.26293377599999995</v>
      </c>
      <c r="K15" s="52">
        <f t="shared" si="0"/>
        <v>0.26293377599999995</v>
      </c>
      <c r="L15" s="52">
        <f t="shared" si="0"/>
        <v>0.20666811199999999</v>
      </c>
      <c r="M15" s="52">
        <f t="shared" si="0"/>
        <v>0.20666811199999999</v>
      </c>
      <c r="N15" s="52">
        <f t="shared" si="0"/>
        <v>0.20666811199999999</v>
      </c>
      <c r="O15" s="52">
        <f t="shared" si="0"/>
        <v>0.20666811199999999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"Percentage of children in each category in baseline year ("&amp;start_year&amp;")"</f>
        <v>Percentage of children in each category in baseline year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0.62783992564380298</v>
      </c>
      <c r="D2" s="53">
        <v>0.43262884734375001</v>
      </c>
      <c r="E2" s="53"/>
      <c r="F2" s="53"/>
      <c r="G2" s="53"/>
    </row>
    <row r="3" spans="1:7" x14ac:dyDescent="0.25">
      <c r="B3" s="3" t="s">
        <v>120</v>
      </c>
      <c r="C3" s="53">
        <v>0.14720586077719799</v>
      </c>
      <c r="D3" s="53">
        <v>0.177978600203125</v>
      </c>
      <c r="E3" s="53"/>
      <c r="F3" s="53"/>
      <c r="G3" s="53"/>
    </row>
    <row r="4" spans="1:7" x14ac:dyDescent="0.25">
      <c r="B4" s="3" t="s">
        <v>121</v>
      </c>
      <c r="C4" s="53">
        <v>0.18765317901068701</v>
      </c>
      <c r="D4" s="53">
        <v>0.32684205140624989</v>
      </c>
      <c r="E4" s="53">
        <v>0.87710333811609398</v>
      </c>
      <c r="F4" s="53">
        <v>0.70024838180918392</v>
      </c>
      <c r="G4" s="53"/>
    </row>
    <row r="5" spans="1:7" x14ac:dyDescent="0.25">
      <c r="B5" s="3" t="s">
        <v>122</v>
      </c>
      <c r="C5" s="52">
        <v>3.74988743882404E-2</v>
      </c>
      <c r="D5" s="52">
        <v>6.2550492506879399E-2</v>
      </c>
      <c r="E5" s="52">
        <f>1-SUM(E2:E4)</f>
        <v>0.12289666188390602</v>
      </c>
      <c r="F5" s="52">
        <f>1-SUM(F2:F4)</f>
        <v>0.29975161819081608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ht="13" customHeight="1" x14ac:dyDescent="0.3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ht="13" customHeight="1" x14ac:dyDescent="0.3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ht="13" customHeight="1" x14ac:dyDescent="0.3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1</v>
      </c>
      <c r="B1" s="36" t="s">
        <v>153</v>
      </c>
      <c r="C1" s="40" t="s">
        <v>154</v>
      </c>
      <c r="D1" s="40" t="s">
        <v>155</v>
      </c>
    </row>
    <row r="2" spans="1:4" ht="13" customHeight="1" x14ac:dyDescent="0.3">
      <c r="A2" s="40" t="s">
        <v>156</v>
      </c>
      <c r="B2" s="32" t="s">
        <v>157</v>
      </c>
      <c r="C2" s="32" t="s">
        <v>158</v>
      </c>
      <c r="D2" s="47"/>
    </row>
    <row r="3" spans="1:4" ht="13" customHeight="1" x14ac:dyDescent="0.3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156</v>
      </c>
      <c r="B1" s="22" t="str">
        <f>"Baseline ("&amp;start_year&amp;") coverage"</f>
        <v>Baseline (2021)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</v>
      </c>
      <c r="C2" s="98">
        <v>0.95</v>
      </c>
      <c r="D2" s="56">
        <v>44.388781579401957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44.84912601313826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200.54836433279559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0.94987178533966066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14.37418788225863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14.37418788225863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14.37418788225863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14.37418788225863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14.37418788225863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14.37418788225863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</v>
      </c>
      <c r="C16" s="98">
        <v>0.95</v>
      </c>
      <c r="D16" s="56">
        <v>0.42998861651827419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0.85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4.6877241811456267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4.6877241811456267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0.29399999999999998</v>
      </c>
      <c r="C21" s="98">
        <v>0.95</v>
      </c>
      <c r="D21" s="56">
        <v>8.3654863902487371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24.603396778891561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0</v>
      </c>
      <c r="C23" s="98">
        <v>0.95</v>
      </c>
      <c r="D23" s="56">
        <v>4.7742338241318913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</v>
      </c>
      <c r="C27" s="98">
        <v>0.95</v>
      </c>
      <c r="D27" s="56">
        <v>20.640466451977151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0.377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82.515341030888564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</v>
      </c>
      <c r="C31" s="98">
        <v>0.95</v>
      </c>
      <c r="D31" s="56">
        <v>4.6956398181241168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</v>
      </c>
      <c r="C32" s="98">
        <v>0.95</v>
      </c>
      <c r="D32" s="56">
        <v>0.88473850018384426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0.335283536272378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7.400000000000001E-2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</v>
      </c>
      <c r="C38" s="98">
        <v>0.95</v>
      </c>
      <c r="D38" s="56">
        <v>5.5596741637734697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0.36899999999999999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2.2000000000000002</v>
      </c>
      <c r="C2" s="21">
        <f>'Baseline year population inputs'!C52</f>
        <v>2.2000000000000002</v>
      </c>
      <c r="D2" s="21">
        <f>'Baseline year population inputs'!C53</f>
        <v>2.2000000000000002</v>
      </c>
      <c r="E2" s="21">
        <f>'Baseline year population inputs'!C54</f>
        <v>2.2000000000000002</v>
      </c>
      <c r="F2" s="21">
        <f>'Baseline year population inputs'!C55</f>
        <v>2.2000000000000002</v>
      </c>
    </row>
    <row r="3" spans="1:6" ht="15.75" customHeight="1" x14ac:dyDescent="0.25">
      <c r="A3" s="3" t="s">
        <v>204</v>
      </c>
      <c r="B3" s="21">
        <f>frac_mam_1month * 2.6</f>
        <v>0.21687307823148139</v>
      </c>
      <c r="C3" s="21">
        <f>frac_mam_1_5months * 2.6</f>
        <v>0.21687307823148139</v>
      </c>
      <c r="D3" s="21">
        <f>frac_mam_6_11months * 2.6</f>
        <v>0.22747089326963613</v>
      </c>
      <c r="E3" s="21">
        <f>frac_mam_12_23months * 2.6</f>
        <v>0.22028677790591786</v>
      </c>
      <c r="F3" s="21">
        <f>frac_mam_24_59months * 2.6</f>
        <v>0.16292941521529739</v>
      </c>
    </row>
    <row r="4" spans="1:6" ht="15.75" customHeight="1" x14ac:dyDescent="0.25">
      <c r="A4" s="3" t="s">
        <v>205</v>
      </c>
      <c r="B4" s="21">
        <f>frac_sam_1month * 2.6</f>
        <v>0.13623622441047503</v>
      </c>
      <c r="C4" s="21">
        <f>frac_sam_1_5months * 2.6</f>
        <v>0.13623622441047503</v>
      </c>
      <c r="D4" s="21">
        <f>frac_sam_6_11months * 2.6</f>
        <v>0.10579411827841896</v>
      </c>
      <c r="E4" s="21">
        <f>frac_sam_12_23months * 2.6</f>
        <v>8.8618239852306074E-2</v>
      </c>
      <c r="F4" s="21">
        <f>frac_sam_24_59months * 2.6</f>
        <v>5.485610173655768E-2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60">
        <v>0</v>
      </c>
      <c r="D2" s="60">
        <f>food_insecure</f>
        <v>0.251</v>
      </c>
      <c r="E2" s="60">
        <f>food_insecure</f>
        <v>0.251</v>
      </c>
      <c r="F2" s="60">
        <f>food_insecure</f>
        <v>0.251</v>
      </c>
      <c r="G2" s="60">
        <f>food_insecure</f>
        <v>0.251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0.251</v>
      </c>
      <c r="F5" s="60">
        <f>food_insecure</f>
        <v>0.251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4.6999999999999993E-2</v>
      </c>
      <c r="D7" s="60">
        <f>diarrhoea_1_5mo*frac_diarrhea_severe</f>
        <v>4.6999999999999993E-2</v>
      </c>
      <c r="E7" s="60">
        <f>diarrhoea_6_11mo*frac_diarrhea_severe</f>
        <v>4.6999999999999993E-2</v>
      </c>
      <c r="F7" s="60">
        <f>diarrhoea_12_23mo*frac_diarrhea_severe</f>
        <v>4.6999999999999993E-2</v>
      </c>
      <c r="G7" s="60">
        <f>diarrhoea_24_59mo*frac_diarrhea_severe</f>
        <v>4.6999999999999993E-2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0.251</v>
      </c>
      <c r="F8" s="60">
        <f>food_insecure</f>
        <v>0.251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0.251</v>
      </c>
      <c r="F9" s="60">
        <f>food_insecure</f>
        <v>0.251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0.79</v>
      </c>
      <c r="E10" s="60">
        <f>IF(ISBLANK(comm_deliv), frac_children_health_facility,1)</f>
        <v>0.79</v>
      </c>
      <c r="F10" s="60">
        <f>IF(ISBLANK(comm_deliv), frac_children_health_facility,1)</f>
        <v>0.79</v>
      </c>
      <c r="G10" s="60">
        <f>IF(ISBLANK(comm_deliv), frac_children_health_facility,1)</f>
        <v>0.79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4.6999999999999993E-2</v>
      </c>
      <c r="D12" s="60">
        <f>diarrhoea_1_5mo*frac_diarrhea_severe</f>
        <v>4.6999999999999993E-2</v>
      </c>
      <c r="E12" s="60">
        <f>diarrhoea_6_11mo*frac_diarrhea_severe</f>
        <v>4.6999999999999993E-2</v>
      </c>
      <c r="F12" s="60">
        <f>diarrhoea_12_23mo*frac_diarrhea_severe</f>
        <v>4.6999999999999993E-2</v>
      </c>
      <c r="G12" s="60">
        <f>diarrhoea_24_59mo*frac_diarrhea_severe</f>
        <v>4.6999999999999993E-2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0.251</v>
      </c>
      <c r="I15" s="60">
        <f>food_insecure</f>
        <v>0.251</v>
      </c>
      <c r="J15" s="60">
        <f>food_insecure</f>
        <v>0.251</v>
      </c>
      <c r="K15" s="60">
        <f>food_insecure</f>
        <v>0.251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0.68900000000000006</v>
      </c>
      <c r="I18" s="60">
        <f>frac_PW_health_facility</f>
        <v>0.68900000000000006</v>
      </c>
      <c r="J18" s="60">
        <f>frac_PW_health_facility</f>
        <v>0.68900000000000006</v>
      </c>
      <c r="K18" s="60">
        <f>frac_PW_health_facility</f>
        <v>0.68900000000000006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0.62</v>
      </c>
      <c r="M24" s="60">
        <f>famplan_unmet_need</f>
        <v>0.62</v>
      </c>
      <c r="N24" s="60">
        <f>famplan_unmet_need</f>
        <v>0.62</v>
      </c>
      <c r="O24" s="60">
        <f>famplan_unmet_need</f>
        <v>0.62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0.10089684944001601</v>
      </c>
      <c r="M25" s="60">
        <f>(1-food_insecure)*(0.49)+food_insecure*(0.7)</f>
        <v>0.54271000000000003</v>
      </c>
      <c r="N25" s="60">
        <f>(1-food_insecure)*(0.49)+food_insecure*(0.7)</f>
        <v>0.54271000000000003</v>
      </c>
      <c r="O25" s="60">
        <f>(1-food_insecure)*(0.49)+food_insecure*(0.7)</f>
        <v>0.54271000000000003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4.3241506902863998E-2</v>
      </c>
      <c r="M26" s="60">
        <f>(1-food_insecure)*(0.21)+food_insecure*(0.3)</f>
        <v>0.23258999999999996</v>
      </c>
      <c r="N26" s="60">
        <f>(1-food_insecure)*(0.21)+food_insecure*(0.3)</f>
        <v>0.23258999999999996</v>
      </c>
      <c r="O26" s="60">
        <f>(1-food_insecure)*(0.21)+food_insecure*(0.3)</f>
        <v>0.23258999999999996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4.1774653257120001E-2</v>
      </c>
      <c r="M27" s="60">
        <f>(1-food_insecure)*(0.3)</f>
        <v>0.22469999999999998</v>
      </c>
      <c r="N27" s="60">
        <f>(1-food_insecure)*(0.3)</f>
        <v>0.22469999999999998</v>
      </c>
      <c r="O27" s="60">
        <f>(1-food_insecure)*(0.3)</f>
        <v>0.22469999999999998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0.8140869904000001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c/rGyVZgGkhUAqOYeQhEdKJohJnZwMlPtVcOZvPWAG/LEg5Gne9k7nZtnui0huHfripADE6dYtqDmtQbZr0eCA==" saltValue="B8YmPLaFBUBxrPCcmxl/Fg==" spinCount="100000" sheet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4" customHeight="1" x14ac:dyDescent="0.3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5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/iNx8XhXnh7Xx3uVehiCurwu84DzhXX8Awjv5OnRpydvMo//nxQizpEy+BvB5S3dYPWZ66+QPd4XSBmiXvnjlw==" saltValue="ZzUL++HyQF3FaTSDA9XqUQ==" spinCount="100000" sheet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r5uzVyzuX2cUXRUCd1eCp2cRQdoXMaTi7+j4lrtBEgwzDwwg07iN9Zvo/tiwSsVCYAFkOMHpp89HQAzExnqtEg==" saltValue="Yl6vtKysPUoNlkWylvJDXA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ht="13" customHeight="1" x14ac:dyDescent="0.3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67</v>
      </c>
      <c r="C5" s="8" t="s">
        <v>145</v>
      </c>
      <c r="D5" s="88">
        <f>IF(ISBLANK('Breastfeeding distribution'!$C$2),1.56,(1.56-'Breastfeeding distribution'!$C$2)/(1-'Breastfeeding distribution'!$C$2))</f>
        <v>2.504728848113944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146</v>
      </c>
      <c r="D6" s="88">
        <f>IF(ISBLANK('Breastfeeding distribution'!$C$2),1.56,(1.56-'Breastfeeding distribution'!$C$2)/(1-'Breastfeeding distribution'!$C$2))</f>
        <v>2.504728848113944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77</v>
      </c>
      <c r="C8" s="8" t="s">
        <v>145</v>
      </c>
      <c r="D8" s="88">
        <v>1</v>
      </c>
      <c r="E8" s="88">
        <f>IF(ISBLANK('Breastfeeding distribution'!$D$2),1.56,(1.56-'Breastfeeding distribution'!$D$2)/(1-'Breastfeeding distribution'!$D$2))</f>
        <v>1.9870082350473046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146</v>
      </c>
      <c r="D9" s="88">
        <v>1</v>
      </c>
      <c r="E9" s="88">
        <f>IF(ISBLANK('Breastfeeding distribution'!$D$2),1.56,(1.56-'Breastfeeding distribution'!$D$2)/(1-'Breastfeeding distribution'!$D$2))</f>
        <v>1.9870082350473046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146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150</v>
      </c>
      <c r="C51" s="8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ht="13" customHeight="1" x14ac:dyDescent="0.3">
      <c r="A55" s="4" t="s">
        <v>236</v>
      </c>
      <c r="B55" s="103" t="s">
        <v>90</v>
      </c>
      <c r="C55" s="8" t="s">
        <v>145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146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147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67</v>
      </c>
      <c r="C58" s="8" t="s">
        <v>145</v>
      </c>
      <c r="D58" s="88">
        <f>IF(ISBLANK('Breastfeeding distribution'!$C$2),1.37,(1.37-'Breastfeeding distribution'!$C$2)/(1-'Breastfeeding distribution'!$C$2))</f>
        <v>1.9941958460752844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146</v>
      </c>
      <c r="D59" s="88">
        <f>IF(ISBLANK('Breastfeeding distribution'!$C$2),1.37,(1.37-'Breastfeeding distribution'!$C$2)/(1-'Breastfeeding distribution'!$C$2))</f>
        <v>1.9941958460752844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147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77</v>
      </c>
      <c r="C61" s="8" t="s">
        <v>145</v>
      </c>
      <c r="D61" s="88">
        <f t="shared" si="2"/>
        <v>1</v>
      </c>
      <c r="E61" s="88">
        <f>IF(ISBLANK('Breastfeeding distribution'!$D$2),1.37,(1.37-'Breastfeeding distribution'!$D$2)/(1-'Breastfeeding distribution'!$D$2))</f>
        <v>1.6521304410133977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146</v>
      </c>
      <c r="D62" s="88">
        <f t="shared" si="2"/>
        <v>1</v>
      </c>
      <c r="E62" s="88">
        <f>IF(ISBLANK('Breastfeeding distribution'!$D$2),1.37,(1.37-'Breastfeeding distribution'!$D$2)/(1-'Breastfeeding distribution'!$D$2))</f>
        <v>1.6521304410133977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147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78</v>
      </c>
      <c r="C64" s="8" t="s">
        <v>145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146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147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79</v>
      </c>
      <c r="C67" s="8" t="s">
        <v>145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146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147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150</v>
      </c>
      <c r="C70" s="8" t="s">
        <v>147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90</v>
      </c>
      <c r="C72" s="8" t="s">
        <v>145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146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147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67</v>
      </c>
      <c r="C75" s="8" t="s">
        <v>145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146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147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77</v>
      </c>
      <c r="C78" s="8" t="s">
        <v>145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146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147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78</v>
      </c>
      <c r="C81" s="8" t="s">
        <v>145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146</v>
      </c>
      <c r="D82" s="88">
        <f t="shared" ref="D82:H91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147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79</v>
      </c>
      <c r="C84" s="8" t="s">
        <v>145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146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147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150</v>
      </c>
      <c r="C87" s="8" t="s">
        <v>147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90</v>
      </c>
      <c r="C89" s="8" t="s">
        <v>145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146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147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67</v>
      </c>
      <c r="C92" s="8" t="s">
        <v>145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146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147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77</v>
      </c>
      <c r="C95" s="8" t="s">
        <v>145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146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147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78</v>
      </c>
      <c r="C98" s="8" t="s">
        <v>145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146</v>
      </c>
      <c r="D99" s="88">
        <f t="shared" ref="D99:H108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147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79</v>
      </c>
      <c r="C101" s="8" t="s">
        <v>145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146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147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150</v>
      </c>
      <c r="C104" s="8" t="s">
        <v>147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ht="13" customHeight="1" x14ac:dyDescent="0.3">
      <c r="A108" s="4" t="s">
        <v>240</v>
      </c>
      <c r="B108" s="103" t="s">
        <v>90</v>
      </c>
      <c r="C108" s="8" t="s">
        <v>145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146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147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67</v>
      </c>
      <c r="C111" s="8" t="s">
        <v>145</v>
      </c>
      <c r="D111" s="88">
        <f>IF(ISBLANK('Breastfeeding distribution'!$C$2),1.77,(1.77-'Breastfeeding distribution'!$C$2)/(1-'Breastfeeding distribution'!$C$2))</f>
        <v>3.0690021661566727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146</v>
      </c>
      <c r="D112" s="88">
        <f>IF(ISBLANK('Breastfeeding distribution'!$C$2),1.77,(1.77-'Breastfeeding distribution'!$C$2)/(1-'Breastfeeding distribution'!$C$2))</f>
        <v>3.0690021661566727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147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77</v>
      </c>
      <c r="C114" s="8" t="s">
        <v>145</v>
      </c>
      <c r="D114" s="88">
        <f t="shared" si="12"/>
        <v>1</v>
      </c>
      <c r="E114" s="88">
        <f>IF(ISBLANK('Breastfeeding distribution'!$D$2),1.77,(1.77-'Breastfeeding distribution'!$D$2)/(1-'Breastfeeding distribution'!$D$2))</f>
        <v>2.3571363231900437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146</v>
      </c>
      <c r="D115" s="88">
        <f t="shared" si="12"/>
        <v>1</v>
      </c>
      <c r="E115" s="88">
        <f>IF(ISBLANK('Breastfeeding distribution'!$D$2),1.77,(1.77-'Breastfeeding distribution'!$D$2)/(1-'Breastfeeding distribution'!$D$2))</f>
        <v>2.3571363231900437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147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78</v>
      </c>
      <c r="C117" s="8" t="s">
        <v>145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146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147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79</v>
      </c>
      <c r="C120" s="8" t="s">
        <v>145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146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147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150</v>
      </c>
      <c r="C123" s="8" t="s">
        <v>147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90</v>
      </c>
      <c r="C125" s="8" t="s">
        <v>145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146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147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67</v>
      </c>
      <c r="C128" s="8" t="s">
        <v>145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146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147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77</v>
      </c>
      <c r="C131" s="8" t="s">
        <v>145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146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147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78</v>
      </c>
      <c r="C134" s="8" t="s">
        <v>145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146</v>
      </c>
      <c r="D135" s="88">
        <f t="shared" ref="D135:H144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147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79</v>
      </c>
      <c r="C137" s="8" t="s">
        <v>145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146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147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150</v>
      </c>
      <c r="C140" s="8" t="s">
        <v>147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90</v>
      </c>
      <c r="C142" s="8" t="s">
        <v>145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146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147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67</v>
      </c>
      <c r="C145" s="8" t="s">
        <v>145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146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147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77</v>
      </c>
      <c r="C148" s="8" t="s">
        <v>145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146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147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78</v>
      </c>
      <c r="C151" s="8" t="s">
        <v>145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146</v>
      </c>
      <c r="D152" s="88">
        <f t="shared" ref="D152:H161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147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79</v>
      </c>
      <c r="C154" s="8" t="s">
        <v>145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146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147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150</v>
      </c>
      <c r="C157" s="8" t="s">
        <v>147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L76VU8ykSDBuTlYgb2NNpcBy4OEu24bfsKaQhUdBKk6y5NS/LJ7Sfpi+gG+WcNAmRpLv1SA9k8KbxdIVu6kGNw==" saltValue="INshWzVhoYM1JVnwBE5Hvw==" spinCount="100000" sheet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D12" sqref="D12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246</v>
      </c>
      <c r="C11" s="74"/>
      <c r="D11" s="75"/>
      <c r="E11" s="75"/>
      <c r="F11" s="75"/>
    </row>
    <row r="12" spans="1:6" ht="15.75" customHeight="1" x14ac:dyDescent="0.3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27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28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29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251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3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254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255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69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70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71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72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73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74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75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27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28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29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258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3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261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262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69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70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71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72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73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74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75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OEa5xq8Dht0iRzVx1fQ1EOJdDm09uSIzQRujIfp/VJ8GNGNECqE8Uut2U6j1omy5Y9ajcKxMUHwzsTWrCb+nAw==" saltValue="Poj67khbkyqhF7WVYd6Cs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271</v>
      </c>
    </row>
    <row r="29" spans="1:16" ht="13" customHeight="1" x14ac:dyDescent="0.3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274</v>
      </c>
    </row>
    <row r="56" spans="1:16" ht="26" customHeight="1" x14ac:dyDescent="0.3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278</v>
      </c>
    </row>
    <row r="65" spans="1:16" ht="26" customHeight="1" x14ac:dyDescent="0.3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68</v>
      </c>
      <c r="C66" s="3" t="s">
        <v>119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ht="13" customHeight="1" x14ac:dyDescent="0.3">
      <c r="A113" s="4"/>
      <c r="B113" s="8" t="s">
        <v>81</v>
      </c>
      <c r="C113" s="3" t="s">
        <v>267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268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269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270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268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269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270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84</v>
      </c>
      <c r="C121" s="3" t="s">
        <v>267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268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269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270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268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269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270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83</v>
      </c>
      <c r="C129" s="3" t="s">
        <v>267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268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269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270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89</v>
      </c>
      <c r="C133" s="3" t="s">
        <v>267</v>
      </c>
      <c r="D133" s="91">
        <f t="shared" ref="D133:H142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268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269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270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ht="13" customHeight="1" x14ac:dyDescent="0.3">
      <c r="A140" s="4"/>
      <c r="B140" s="8" t="s">
        <v>81</v>
      </c>
      <c r="C140" s="3" t="s">
        <v>267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268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204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205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82</v>
      </c>
      <c r="C144" s="3" t="s">
        <v>267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268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204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205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84</v>
      </c>
      <c r="C148" s="3" t="s">
        <v>267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268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204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205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85</v>
      </c>
      <c r="C152" s="3" t="s">
        <v>267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268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204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205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83</v>
      </c>
      <c r="C156" s="3" t="s">
        <v>267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268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204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205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89</v>
      </c>
      <c r="C160" s="3" t="s">
        <v>267</v>
      </c>
      <c r="D160" s="91">
        <f t="shared" ref="D160:H169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268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204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205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ht="13" customHeight="1" x14ac:dyDescent="0.3">
      <c r="A167" s="4"/>
      <c r="B167" s="8" t="s">
        <v>91</v>
      </c>
      <c r="C167" s="3" t="s">
        <v>276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277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277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277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ht="13" customHeight="1" x14ac:dyDescent="0.3">
      <c r="A176" s="82"/>
      <c r="B176" s="8" t="s">
        <v>68</v>
      </c>
      <c r="C176" s="3" t="s">
        <v>119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ht="13" customHeight="1" x14ac:dyDescent="0.3">
      <c r="A215" s="4"/>
      <c r="C215" s="3" t="s">
        <v>119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ht="13" customHeight="1" x14ac:dyDescent="0.3">
      <c r="A223" s="4"/>
      <c r="B223" s="8" t="s">
        <v>81</v>
      </c>
      <c r="C223" s="3" t="s">
        <v>267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268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269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270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268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269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270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268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269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270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268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269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270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268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269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270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268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269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270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ht="13" customHeight="1" x14ac:dyDescent="0.3">
      <c r="A250" s="4"/>
      <c r="B250" s="8" t="s">
        <v>81</v>
      </c>
      <c r="C250" s="3" t="s">
        <v>267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268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204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205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268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204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205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268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204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205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268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204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205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268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204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205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268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204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205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ht="13" customHeight="1" x14ac:dyDescent="0.3">
      <c r="A277" s="4"/>
      <c r="B277" s="8" t="s">
        <v>91</v>
      </c>
      <c r="C277" s="3" t="s">
        <v>276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277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277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277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ht="13" customHeight="1" x14ac:dyDescent="0.3">
      <c r="A286" s="82"/>
      <c r="B286" s="8" t="s">
        <v>68</v>
      </c>
      <c r="C286" s="3" t="s">
        <v>119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ht="13" customHeight="1" x14ac:dyDescent="0.3">
      <c r="A325" s="4"/>
      <c r="C325" s="3" t="s">
        <v>119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rzjjr+eUY+zLxtgvRuigrXBCYk8ZjZeKkvy/Wu7lqFGhk7GKsrVngS9i2Jt2gxX9Fn0pC2b9tyB7+BxRGGivEA==" saltValue="vsQDJsypwJz22iUc18xJ6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281</v>
      </c>
    </row>
    <row r="2" spans="1:7" ht="14.25" customHeight="1" x14ac:dyDescent="0.3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f>IF(ISBLANK('Nutritional status distribution'!$E$4),0.64, (0.64*SUM('Nutritional status distribution'!$E$4:$E$5)/(1-0.64*SUM('Nutritional status distribution'!$E$4:$E$5)))/ (SUM('Nutritional status distribution'!$E$4:$E$5)/(1-SUM('Nutritional status distribution'!$E$4:$E$5))))</f>
        <v>0.58640400123549707</v>
      </c>
      <c r="F6" s="90">
        <f>IF(ISBLANK('Nutritional status distribution'!$E$4),0.64, (0.64*SUM('Nutritional status distribution'!$E$4:$E$5)/(1-0.64*SUM('Nutritional status distribution'!$E$4:$E$5)))/ (SUM('Nutritional status distribution'!$E$4:$E$5)/(1-SUM('Nutritional status distribution'!$E$4:$E$5))))</f>
        <v>0.58640400123549707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0.85398263972330546</v>
      </c>
      <c r="F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0.85398263972330546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0.85398263972330546</v>
      </c>
      <c r="F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0.85398263972330546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287</v>
      </c>
    </row>
    <row r="15" spans="1:7" ht="14.25" customHeight="1" x14ac:dyDescent="0.3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291</v>
      </c>
    </row>
    <row r="20" spans="1:7" s="14" customFormat="1" ht="14.25" customHeight="1" x14ac:dyDescent="0.3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281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293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294</v>
      </c>
    </row>
    <row r="29" spans="1:7" x14ac:dyDescent="0.25">
      <c r="B29" s="5" t="s">
        <v>295</v>
      </c>
      <c r="C29" s="90">
        <f t="shared" ref="C29:D32" si="0">IF(C6=1,1,C6*0.9)</f>
        <v>1</v>
      </c>
      <c r="D29" s="90">
        <f t="shared" si="0"/>
        <v>1</v>
      </c>
      <c r="E29" s="90">
        <f>IF(ISBLANK('Nutritional status distribution'!$E$4),0.44, (0.44*SUM('Nutritional status distribution'!$E$4:$E$5)/(1-0.44*SUM('Nutritional status distribution'!$E$4:$E$5)))/ (SUM('Nutritional status distribution'!$E$4:$E$5)/(1-SUM('Nutritional status distribution'!$E$4:$E$5))))</f>
        <v>0.385230184451893</v>
      </c>
      <c r="F29" s="90">
        <f>IF(ISBLANK('Nutritional status distribution'!$E$4),0.44, (0.44*SUM('Nutritional status distribution'!$E$4:$E$5)/(1-0.44*SUM('Nutritional status distribution'!$E$4:$E$5)))/ (SUM('Nutritional status distribution'!$E$4:$E$5)/(1-SUM('Nutritional status distribution'!$E$4:$E$5))))</f>
        <v>0.385230184451893</v>
      </c>
      <c r="G29" s="90">
        <f>IF(G6=1,1,G6*0.9)</f>
        <v>1</v>
      </c>
    </row>
    <row r="30" spans="1:7" x14ac:dyDescent="0.25">
      <c r="B30" s="5" t="s">
        <v>296</v>
      </c>
      <c r="C30" s="90">
        <f t="shared" si="0"/>
        <v>1</v>
      </c>
      <c r="D30" s="90">
        <f t="shared" si="0"/>
        <v>1</v>
      </c>
      <c r="E30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0.8188174732547493</v>
      </c>
      <c r="F30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0.8188174732547493</v>
      </c>
      <c r="G30" s="90">
        <f>IF(G7=1,1,G7*0.9)</f>
        <v>1</v>
      </c>
    </row>
    <row r="31" spans="1:7" x14ac:dyDescent="0.25">
      <c r="B31" s="5" t="s">
        <v>297</v>
      </c>
      <c r="C31" s="90">
        <f t="shared" si="0"/>
        <v>1</v>
      </c>
      <c r="D31" s="90">
        <f t="shared" si="0"/>
        <v>1</v>
      </c>
      <c r="E31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0.8188174732547493</v>
      </c>
      <c r="F31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0.8188174732547493</v>
      </c>
      <c r="G31" s="90">
        <f>IF(G8=1,1,G8*0.9)</f>
        <v>1</v>
      </c>
    </row>
    <row r="32" spans="1:7" x14ac:dyDescent="0.25">
      <c r="B32" s="5" t="s">
        <v>298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299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287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272</v>
      </c>
      <c r="B38" s="5" t="s">
        <v>301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302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111</v>
      </c>
      <c r="B40" s="11" t="s">
        <v>303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304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281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307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308</v>
      </c>
    </row>
    <row r="52" spans="1:7" x14ac:dyDescent="0.25">
      <c r="B52" s="5" t="s">
        <v>309</v>
      </c>
      <c r="C52" s="90">
        <f t="shared" ref="C52:D55" si="3">IF(C6=1,1,C6*1.1)</f>
        <v>1</v>
      </c>
      <c r="D52" s="90">
        <f t="shared" si="3"/>
        <v>1</v>
      </c>
      <c r="E52" s="90">
        <f>IF(ISBLANK('Nutritional status distribution'!$E$4),0.92, (0.92*SUM('Nutritional status distribution'!$E$4:$E$5)/(1-0.92*SUM('Nutritional status distribution'!$E$4:$E$5)))/ (SUM('Nutritional status distribution'!$E$4:$E$5)/(1-SUM('Nutritional status distribution'!$E$4:$E$5))))</f>
        <v>0.90168620472774641</v>
      </c>
      <c r="F52" s="90">
        <f>IF(ISBLANK('Nutritional status distribution'!$E$4),0.92, (0.92*SUM('Nutritional status distribution'!$E$4:$E$5)/(1-0.92*SUM('Nutritional status distribution'!$E$4:$E$5)))/ (SUM('Nutritional status distribution'!$E$4:$E$5)/(1-SUM('Nutritional status distribution'!$E$4:$E$5))))</f>
        <v>0.90168620472774641</v>
      </c>
      <c r="G52" s="90">
        <f>IF(G6=1,1,G6*1.1)</f>
        <v>1</v>
      </c>
    </row>
    <row r="53" spans="1:7" x14ac:dyDescent="0.25">
      <c r="B53" s="5" t="s">
        <v>310</v>
      </c>
      <c r="C53" s="90">
        <f t="shared" si="3"/>
        <v>1</v>
      </c>
      <c r="D53" s="90">
        <f t="shared" si="3"/>
        <v>1</v>
      </c>
      <c r="E53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0.88967150931207806</v>
      </c>
      <c r="F53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0.88967150931207806</v>
      </c>
      <c r="G53" s="90">
        <f>IF(G7=1,1,G7*1.1)</f>
        <v>1</v>
      </c>
    </row>
    <row r="54" spans="1:7" x14ac:dyDescent="0.25">
      <c r="B54" s="5" t="s">
        <v>311</v>
      </c>
      <c r="C54" s="90">
        <f t="shared" si="3"/>
        <v>1</v>
      </c>
      <c r="D54" s="90">
        <f t="shared" si="3"/>
        <v>1</v>
      </c>
      <c r="E54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0.88967150931207806</v>
      </c>
      <c r="F54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0.88967150931207806</v>
      </c>
      <c r="G54" s="90">
        <f>IF(G8=1,1,G8*1.1)</f>
        <v>1</v>
      </c>
    </row>
    <row r="55" spans="1:7" x14ac:dyDescent="0.25">
      <c r="B55" s="5" t="s">
        <v>312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313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287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272</v>
      </c>
      <c r="B61" s="5" t="s">
        <v>315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316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111</v>
      </c>
      <c r="B63" s="11" t="s">
        <v>317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318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1xemoVCIIreQagjJVMiWyNhVvhvUOQg9OHEcTVo7hqskVIqwoAD69fIkJm9ydgZV80dF5M+GUJbtCBcIeyGGxA==" saltValue="hzR3b6BMf8xRAQYoVw4dZ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179</v>
      </c>
      <c r="B19" s="5" t="s">
        <v>320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180</v>
      </c>
      <c r="B21" s="5" t="s">
        <v>320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181</v>
      </c>
      <c r="B23" s="5" t="s">
        <v>320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320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189</v>
      </c>
      <c r="B27" s="5" t="s">
        <v>320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179</v>
      </c>
      <c r="B34" s="5" t="s">
        <v>320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180</v>
      </c>
      <c r="B36" s="5" t="s">
        <v>320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181</v>
      </c>
      <c r="B38" s="5" t="s">
        <v>320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320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189</v>
      </c>
      <c r="B42" s="5" t="s">
        <v>320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PUfJuiUNbMb/MQRLkAsGcWUE9LysvFA0D2QXP4JDwD+OwFdv/0QrTPfxLCzzq0L/85+mR0sq4EtSXllAnq4t/g==" saltValue="WHV2CYSu8Z8U8FzUo7tV5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ht="13" customHeight="1" x14ac:dyDescent="0.3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f>IF(ISBLANK('Nutritional status distribution'!E$14),0.72,(0.72*'Nutritional status distribution'!E$14/(1-0.72*'Nutritional status distribution'!E$14))
/ ('Nutritional status distribution'!E$14/(1-'Nutritional status distribution'!E$14)))</f>
        <v>0.50018183236977931</v>
      </c>
      <c r="F19" s="90">
        <f>IF(ISBLANK('Nutritional status distribution'!F$14),0.72,(0.72*'Nutritional status distribution'!F$14/(1-0.72*'Nutritional status distribution'!F$14))
/ ('Nutritional status distribution'!F$14/(1-'Nutritional status distribution'!F$14)))</f>
        <v>0.57907570827360322</v>
      </c>
      <c r="G19" s="90">
        <f>IF(ISBLANK('Nutritional status distribution'!G$14),0.72,(0.72*'Nutritional status distribution'!G$14/(1-0.72*'Nutritional status distribution'!G$14))
/ ('Nutritional status distribution'!G$14/(1-'Nutritional status distribution'!G$14)))</f>
        <v>0.57907570827360322</v>
      </c>
      <c r="H19" s="90">
        <f>IF(ISBLANK('Nutritional status distribution'!H$14),0.72,(0.72*'Nutritional status distribution'!H$14/(1-0.72*'Nutritional status distribution'!H$14))
/ ('Nutritional status distribution'!H$14/(1-'Nutritional status distribution'!H$14)))</f>
        <v>0.56928378045778982</v>
      </c>
      <c r="I19" s="90">
        <f>IF(ISBLANK('Nutritional status distribution'!I$14),0.72,(0.72*'Nutritional status distribution'!I$14/(1-0.72*'Nutritional status distribution'!I$14))
/ ('Nutritional status distribution'!I$14/(1-'Nutritional status distribution'!I$14)))</f>
        <v>0.56928378045778982</v>
      </c>
      <c r="J19" s="90">
        <f>IF(ISBLANK('Nutritional status distribution'!J$14),0.72,(0.72*'Nutritional status distribution'!J$14/(1-0.72*'Nutritional status distribution'!J$14))
/ ('Nutritional status distribution'!J$14/(1-'Nutritional status distribution'!J$14)))</f>
        <v>0.56928378045778982</v>
      </c>
      <c r="K19" s="90">
        <f>IF(ISBLANK('Nutritional status distribution'!K$14),0.72,(0.72*'Nutritional status distribution'!K$14/(1-0.72*'Nutritional status distribution'!K$14))
/ ('Nutritional status distribution'!K$14/(1-'Nutritional status distribution'!K$14)))</f>
        <v>0.56928378045778982</v>
      </c>
      <c r="L19" s="90">
        <f>IF(ISBLANK('Nutritional status distribution'!L$14),0.72,(0.72*'Nutritional status distribution'!L$14/(1-0.72*'Nutritional status distribution'!L$14))
/ ('Nutritional status distribution'!L$14/(1-'Nutritional status distribution'!L$14)))</f>
        <v>0.61377179430589279</v>
      </c>
      <c r="M19" s="90">
        <f>IF(ISBLANK('Nutritional status distribution'!M$14),0.72,(0.72*'Nutritional status distribution'!M$14/(1-0.72*'Nutritional status distribution'!M$14))
/ ('Nutritional status distribution'!M$14/(1-'Nutritional status distribution'!M$14)))</f>
        <v>0.61377179430589279</v>
      </c>
      <c r="N19" s="90">
        <f>IF(ISBLANK('Nutritional status distribution'!N$14),0.72,(0.72*'Nutritional status distribution'!N$14/(1-0.72*'Nutritional status distribution'!N$14))
/ ('Nutritional status distribution'!N$14/(1-'Nutritional status distribution'!N$14)))</f>
        <v>0.61377179430589279</v>
      </c>
      <c r="O19" s="90">
        <f>IF(ISBLANK('Nutritional status distribution'!O$14),0.72,(0.72*'Nutritional status distribution'!O$14/(1-0.72*'Nutritional status distribution'!O$14))
/ ('Nutritional status distribution'!O$14/(1-'Nutritional status distribution'!O$14)))</f>
        <v>0.61377179430589279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f>IF(ISBLANK('Nutritional status distribution'!E$14),0.8,(0.8*'Nutritional status distribution'!E$14/(1-0.8*'Nutritional status distribution'!E$14))
/ ('Nutritional status distribution'!E$14/(1-'Nutritional status distribution'!E$14)))</f>
        <v>0.60886887763672892</v>
      </c>
      <c r="F21" s="90">
        <f>IF(ISBLANK('Nutritional status distribution'!F$14),0.8,(0.8*'Nutritional status distribution'!F$14/(1-0.8*'Nutritional status distribution'!F$14))
/ ('Nutritional status distribution'!F$14/(1-'Nutritional status distribution'!F$14)))</f>
        <v>0.68153021676753645</v>
      </c>
      <c r="G21" s="90">
        <f>IF(ISBLANK('Nutritional status distribution'!G$14),0.8,(0.8*'Nutritional status distribution'!G$14/(1-0.8*'Nutritional status distribution'!G$14))
/ ('Nutritional status distribution'!G$14/(1-'Nutritional status distribution'!G$14)))</f>
        <v>0.68153021676753645</v>
      </c>
      <c r="H21" s="90">
        <f>IF(ISBLANK('Nutritional status distribution'!H$14),0.8,(0.8*'Nutritional status distribution'!H$14/(1-0.8*'Nutritional status distribution'!H$14))
/ ('Nutritional status distribution'!H$14/(1-'Nutritional status distribution'!H$14)))</f>
        <v>0.67277486910994777</v>
      </c>
      <c r="I21" s="90">
        <f>IF(ISBLANK('Nutritional status distribution'!I$14),0.8,(0.8*'Nutritional status distribution'!I$14/(1-0.8*'Nutritional status distribution'!I$14))
/ ('Nutritional status distribution'!I$14/(1-'Nutritional status distribution'!I$14)))</f>
        <v>0.67277486910994777</v>
      </c>
      <c r="J21" s="90">
        <f>IF(ISBLANK('Nutritional status distribution'!J$14),0.8,(0.8*'Nutritional status distribution'!J$14/(1-0.8*'Nutritional status distribution'!J$14))
/ ('Nutritional status distribution'!J$14/(1-'Nutritional status distribution'!J$14)))</f>
        <v>0.67277486910994777</v>
      </c>
      <c r="K21" s="90">
        <f>IF(ISBLANK('Nutritional status distribution'!K$14),0.8,(0.8*'Nutritional status distribution'!K$14/(1-0.8*'Nutritional status distribution'!K$14))
/ ('Nutritional status distribution'!K$14/(1-'Nutritional status distribution'!K$14)))</f>
        <v>0.67277486910994777</v>
      </c>
      <c r="L21" s="90">
        <f>IF(ISBLANK('Nutritional status distribution'!L$14),0.8,(0.8*'Nutritional status distribution'!L$14/(1-0.8*'Nutritional status distribution'!L$14))
/ ('Nutritional status distribution'!L$14/(1-'Nutritional status distribution'!L$14)))</f>
        <v>0.71198156682027669</v>
      </c>
      <c r="M21" s="90">
        <f>IF(ISBLANK('Nutritional status distribution'!M$14),0.8,(0.8*'Nutritional status distribution'!M$14/(1-0.8*'Nutritional status distribution'!M$14))
/ ('Nutritional status distribution'!M$14/(1-'Nutritional status distribution'!M$14)))</f>
        <v>0.71198156682027669</v>
      </c>
      <c r="N21" s="90">
        <f>IF(ISBLANK('Nutritional status distribution'!N$14),0.8,(0.8*'Nutritional status distribution'!N$14/(1-0.8*'Nutritional status distribution'!N$14))
/ ('Nutritional status distribution'!N$14/(1-'Nutritional status distribution'!N$14)))</f>
        <v>0.71198156682027669</v>
      </c>
      <c r="O21" s="90">
        <f>IF(ISBLANK('Nutritional status distribution'!O$14),0.8,(0.8*'Nutritional status distribution'!O$14/(1-0.8*'Nutritional status distribution'!O$14))
/ ('Nutritional status distribution'!O$14/(1-'Nutritional status distribution'!O$14)))</f>
        <v>0.71198156682027669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ht="13" customHeight="1" x14ac:dyDescent="0.3">
      <c r="A25" s="4" t="s">
        <v>324</v>
      </c>
    </row>
    <row r="26" spans="1:15" x14ac:dyDescent="0.25">
      <c r="B26" s="11" t="s">
        <v>170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175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176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177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178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179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180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181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185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188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189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192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325</v>
      </c>
      <c r="B40" s="11"/>
    </row>
    <row r="41" spans="1:15" x14ac:dyDescent="0.25">
      <c r="B41" s="5" t="s">
        <v>172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173</v>
      </c>
      <c r="C42" s="90">
        <f t="shared" ref="C42:D44" si="14">IF(C19=1,1,C19*0.9)</f>
        <v>1</v>
      </c>
      <c r="D42" s="90">
        <f t="shared" si="14"/>
        <v>1</v>
      </c>
      <c r="E42" s="90">
        <f>IF(ISBLANK('Nutritional status distribution'!E$14),0.54,(0.54*'Nutritional status distribution'!E$14/(1-0.54*'Nutritional status distribution'!E$14))
/ ('Nutritional status distribution'!E$14/(1-'Nutritional status distribution'!E$14)))</f>
        <v>0.31358937305183154</v>
      </c>
      <c r="F42" s="90">
        <f>IF(ISBLANK('Nutritional status distribution'!F$14),0.54,(0.54*'Nutritional status distribution'!F$14/(1-0.54*'Nutritional status distribution'!F$14))
/ ('Nutritional status distribution'!F$14/(1-'Nutritional status distribution'!F$14)))</f>
        <v>0.38576748670916561</v>
      </c>
      <c r="G42" s="90">
        <f>IF(ISBLANK('Nutritional status distribution'!G$14),0.54,(0.54*'Nutritional status distribution'!G$14/(1-0.54*'Nutritional status distribution'!G$14))
/ ('Nutritional status distribution'!G$14/(1-'Nutritional status distribution'!G$14)))</f>
        <v>0.38576748670916561</v>
      </c>
      <c r="H42" s="90">
        <f>IF(ISBLANK('Nutritional status distribution'!H$14),0.54,(0.54*'Nutritional status distribution'!H$14/(1-0.54*'Nutritional status distribution'!H$14))
/ ('Nutritional status distribution'!H$14/(1-'Nutritional status distribution'!H$14)))</f>
        <v>0.37632192635175449</v>
      </c>
      <c r="I42" s="90">
        <f>IF(ISBLANK('Nutritional status distribution'!I$14),0.54,(0.54*'Nutritional status distribution'!I$14/(1-0.54*'Nutritional status distribution'!I$14))
/ ('Nutritional status distribution'!I$14/(1-'Nutritional status distribution'!I$14)))</f>
        <v>0.37632192635175449</v>
      </c>
      <c r="J42" s="90">
        <f>IF(ISBLANK('Nutritional status distribution'!J$14),0.54,(0.54*'Nutritional status distribution'!J$14/(1-0.54*'Nutritional status distribution'!J$14))
/ ('Nutritional status distribution'!J$14/(1-'Nutritional status distribution'!J$14)))</f>
        <v>0.37632192635175449</v>
      </c>
      <c r="K42" s="90">
        <f>IF(ISBLANK('Nutritional status distribution'!K$14),0.54,(0.54*'Nutritional status distribution'!K$14/(1-0.54*'Nutritional status distribution'!K$14))
/ ('Nutritional status distribution'!K$14/(1-'Nutritional status distribution'!K$14)))</f>
        <v>0.37632192635175449</v>
      </c>
      <c r="L42" s="90">
        <f>IF(ISBLANK('Nutritional status distribution'!L$14),0.54,(0.54*'Nutritional status distribution'!L$14/(1-0.54*'Nutritional status distribution'!L$14))
/ ('Nutritional status distribution'!L$14/(1-'Nutritional status distribution'!L$14)))</f>
        <v>0.42045053671319871</v>
      </c>
      <c r="M42" s="90">
        <f>IF(ISBLANK('Nutritional status distribution'!M$14),0.54,(0.54*'Nutritional status distribution'!M$14/(1-0.54*'Nutritional status distribution'!M$14))
/ ('Nutritional status distribution'!M$14/(1-'Nutritional status distribution'!M$14)))</f>
        <v>0.42045053671319871</v>
      </c>
      <c r="N42" s="90">
        <f>IF(ISBLANK('Nutritional status distribution'!N$14),0.54,(0.54*'Nutritional status distribution'!N$14/(1-0.54*'Nutritional status distribution'!N$14))
/ ('Nutritional status distribution'!N$14/(1-'Nutritional status distribution'!N$14)))</f>
        <v>0.42045053671319871</v>
      </c>
      <c r="O42" s="90">
        <f>IF(ISBLANK('Nutritional status distribution'!O$14),0.54,(0.54*'Nutritional status distribution'!O$14/(1-0.54*'Nutritional status distribution'!O$14))
/ ('Nutritional status distribution'!O$14/(1-'Nutritional status distribution'!O$14)))</f>
        <v>0.42045053671319871</v>
      </c>
    </row>
    <row r="43" spans="1:15" x14ac:dyDescent="0.25">
      <c r="B43" s="5" t="s">
        <v>174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182</v>
      </c>
      <c r="C44" s="90">
        <f t="shared" si="14"/>
        <v>1</v>
      </c>
      <c r="D44" s="90">
        <f t="shared" si="14"/>
        <v>1</v>
      </c>
      <c r="E44" s="90">
        <f>IF(ISBLANK('Nutritional status distribution'!E$14),0.7,(0.7*'Nutritional status distribution'!E$14/(1-0.7*'Nutritional status distribution'!E$14))
/ ('Nutritional status distribution'!E$14/(1-'Nutritional status distribution'!E$14)))</f>
        <v>0.47590956242595855</v>
      </c>
      <c r="F44" s="90">
        <f>IF(ISBLANK('Nutritional status distribution'!F$14),0.7,(0.7*'Nutritional status distribution'!F$14/(1-0.7*'Nutritional status distribution'!F$14))
/ ('Nutritional status distribution'!F$14/(1-'Nutritional status distribution'!F$14)))</f>
        <v>0.55522786189454976</v>
      </c>
      <c r="G44" s="90">
        <f>IF(ISBLANK('Nutritional status distribution'!G$14),0.7,(0.7*'Nutritional status distribution'!G$14/(1-0.7*'Nutritional status distribution'!G$14))
/ ('Nutritional status distribution'!G$14/(1-'Nutritional status distribution'!G$14)))</f>
        <v>0.55522786189454976</v>
      </c>
      <c r="H44" s="90">
        <f>IF(ISBLANK('Nutritional status distribution'!H$14),0.7,(0.7*'Nutritional status distribution'!H$14/(1-0.7*'Nutritional status distribution'!H$14))
/ ('Nutritional status distribution'!H$14/(1-'Nutritional status distribution'!H$14)))</f>
        <v>0.54531676265535001</v>
      </c>
      <c r="I44" s="90">
        <f>IF(ISBLANK('Nutritional status distribution'!I$14),0.7,(0.7*'Nutritional status distribution'!I$14/(1-0.7*'Nutritional status distribution'!I$14))
/ ('Nutritional status distribution'!I$14/(1-'Nutritional status distribution'!I$14)))</f>
        <v>0.54531676265535001</v>
      </c>
      <c r="J44" s="90">
        <f>IF(ISBLANK('Nutritional status distribution'!J$14),0.7,(0.7*'Nutritional status distribution'!J$14/(1-0.7*'Nutritional status distribution'!J$14))
/ ('Nutritional status distribution'!J$14/(1-'Nutritional status distribution'!J$14)))</f>
        <v>0.54531676265535001</v>
      </c>
      <c r="K44" s="90">
        <f>IF(ISBLANK('Nutritional status distribution'!K$14),0.7,(0.7*'Nutritional status distribution'!K$14/(1-0.7*'Nutritional status distribution'!K$14))
/ ('Nutritional status distribution'!K$14/(1-'Nutritional status distribution'!K$14)))</f>
        <v>0.54531676265535001</v>
      </c>
      <c r="L44" s="90">
        <f>IF(ISBLANK('Nutritional status distribution'!L$14),0.7,(0.7*'Nutritional status distribution'!L$14/(1-0.7*'Nutritional status distribution'!L$14))
/ ('Nutritional status distribution'!L$14/(1-'Nutritional status distribution'!L$14)))</f>
        <v>0.59049959049959044</v>
      </c>
      <c r="M44" s="90">
        <f>IF(ISBLANK('Nutritional status distribution'!M$14),0.7,(0.7*'Nutritional status distribution'!M$14/(1-0.7*'Nutritional status distribution'!M$14))
/ ('Nutritional status distribution'!M$14/(1-'Nutritional status distribution'!M$14)))</f>
        <v>0.59049959049959044</v>
      </c>
      <c r="N44" s="90">
        <f>IF(ISBLANK('Nutritional status distribution'!N$14),0.7,(0.7*'Nutritional status distribution'!N$14/(1-0.7*'Nutritional status distribution'!N$14))
/ ('Nutritional status distribution'!N$14/(1-'Nutritional status distribution'!N$14)))</f>
        <v>0.59049959049959044</v>
      </c>
      <c r="O44" s="90">
        <f>IF(ISBLANK('Nutritional status distribution'!O$14),0.7,(0.7*'Nutritional status distribution'!O$14/(1-0.7*'Nutritional status distribution'!O$14))
/ ('Nutritional status distribution'!O$14/(1-'Nutritional status distribution'!O$14)))</f>
        <v>0.59049959049959044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ht="13" customHeight="1" x14ac:dyDescent="0.3">
      <c r="A48" s="4" t="s">
        <v>326</v>
      </c>
    </row>
    <row r="49" spans="1:15" x14ac:dyDescent="0.25">
      <c r="B49" s="11" t="s">
        <v>170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175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176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177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178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179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180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181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184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185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188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189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192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327</v>
      </c>
      <c r="B63" s="11"/>
    </row>
    <row r="64" spans="1:15" x14ac:dyDescent="0.25">
      <c r="B64" s="5" t="s">
        <v>172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173</v>
      </c>
      <c r="C65" s="90">
        <f t="shared" ref="C65:D67" si="30">IF(C19=1,1,C19*1.05)</f>
        <v>1</v>
      </c>
      <c r="D65" s="90">
        <f t="shared" si="30"/>
        <v>1</v>
      </c>
      <c r="E65" s="90">
        <f>IF(ISBLANK('Nutritional status distribution'!E$14),0.97,(0.97*'Nutritional status distribution'!E$14/(1-0.97*'Nutritional status distribution'!E$14))
/ ('Nutritional status distribution'!E$14/(1-'Nutritional status distribution'!E$14)))</f>
        <v>0.9263797695390813</v>
      </c>
      <c r="F65" s="90">
        <f>IF(ISBLANK('Nutritional status distribution'!F$14),0.97,(0.97*'Nutritional status distribution'!F$14/(1-0.97*'Nutritional status distribution'!F$14))
/ ('Nutritional status distribution'!F$14/(1-'Nutritional status distribution'!F$14)))</f>
        <v>0.94535058402130523</v>
      </c>
      <c r="G65" s="90">
        <f>IF(ISBLANK('Nutritional status distribution'!G$14),0.97,(0.97*'Nutritional status distribution'!G$14/(1-0.97*'Nutritional status distribution'!G$14))
/ ('Nutritional status distribution'!G$14/(1-'Nutritional status distribution'!G$14)))</f>
        <v>0.94535058402130523</v>
      </c>
      <c r="H65" s="90">
        <f>IF(ISBLANK('Nutritional status distribution'!H$14),0.97,(0.97*'Nutritional status distribution'!H$14/(1-0.97*'Nutritional status distribution'!H$14))
/ ('Nutritional status distribution'!H$14/(1-'Nutritional status distribution'!H$14)))</f>
        <v>0.94324416360815755</v>
      </c>
      <c r="I65" s="90">
        <f>IF(ISBLANK('Nutritional status distribution'!I$14),0.97,(0.97*'Nutritional status distribution'!I$14/(1-0.97*'Nutritional status distribution'!I$14))
/ ('Nutritional status distribution'!I$14/(1-'Nutritional status distribution'!I$14)))</f>
        <v>0.94324416360815755</v>
      </c>
      <c r="J65" s="90">
        <f>IF(ISBLANK('Nutritional status distribution'!J$14),0.97,(0.97*'Nutritional status distribution'!J$14/(1-0.97*'Nutritional status distribution'!J$14))
/ ('Nutritional status distribution'!J$14/(1-'Nutritional status distribution'!J$14)))</f>
        <v>0.94324416360815755</v>
      </c>
      <c r="K65" s="90">
        <f>IF(ISBLANK('Nutritional status distribution'!K$14),0.97,(0.97*'Nutritional status distribution'!K$14/(1-0.97*'Nutritional status distribution'!K$14))
/ ('Nutritional status distribution'!K$14/(1-'Nutritional status distribution'!K$14)))</f>
        <v>0.94324416360815755</v>
      </c>
      <c r="L65" s="90">
        <f>IF(ISBLANK('Nutritional status distribution'!L$14),0.97,(0.97*'Nutritional status distribution'!L$14/(1-0.97*'Nutritional status distribution'!L$14))
/ ('Nutritional status distribution'!L$14/(1-'Nutritional status distribution'!L$14)))</f>
        <v>0.95234010103898581</v>
      </c>
      <c r="M65" s="90">
        <f>IF(ISBLANK('Nutritional status distribution'!M$14),0.97,(0.97*'Nutritional status distribution'!M$14/(1-0.97*'Nutritional status distribution'!M$14))
/ ('Nutritional status distribution'!M$14/(1-'Nutritional status distribution'!M$14)))</f>
        <v>0.95234010103898581</v>
      </c>
      <c r="N65" s="90">
        <f>IF(ISBLANK('Nutritional status distribution'!N$14),0.97,(0.97*'Nutritional status distribution'!N$14/(1-0.97*'Nutritional status distribution'!N$14))
/ ('Nutritional status distribution'!N$14/(1-'Nutritional status distribution'!N$14)))</f>
        <v>0.95234010103898581</v>
      </c>
      <c r="O65" s="90">
        <f>IF(ISBLANK('Nutritional status distribution'!O$14),0.97,(0.97*'Nutritional status distribution'!O$14/(1-0.97*'Nutritional status distribution'!O$14))
/ ('Nutritional status distribution'!O$14/(1-'Nutritional status distribution'!O$14)))</f>
        <v>0.95234010103898581</v>
      </c>
    </row>
    <row r="66" spans="2:15" x14ac:dyDescent="0.25">
      <c r="B66" s="5" t="s">
        <v>174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182</v>
      </c>
      <c r="C67" s="90">
        <f t="shared" si="30"/>
        <v>1</v>
      </c>
      <c r="D67" s="90">
        <f t="shared" si="30"/>
        <v>1</v>
      </c>
      <c r="E67" s="90">
        <f>IF(ISBLANK('Nutritional status distribution'!E$14),0.92,(0.92*'Nutritional status distribution'!E$14/(1-0.92*'Nutritional status distribution'!E$14))
/ ('Nutritional status distribution'!E$14/(1-'Nutritional status distribution'!E$14)))</f>
        <v>0.81736748252023927</v>
      </c>
      <c r="F67" s="90">
        <f>IF(ISBLANK('Nutritional status distribution'!F$14),0.92,(0.92*'Nutritional status distribution'!F$14/(1-0.92*'Nutritional status distribution'!F$14))
/ ('Nutritional status distribution'!F$14/(1-'Nutritional status distribution'!F$14)))</f>
        <v>0.86018960644328235</v>
      </c>
      <c r="G67" s="90">
        <f>IF(ISBLANK('Nutritional status distribution'!G$14),0.92,(0.92*'Nutritional status distribution'!G$14/(1-0.92*'Nutritional status distribution'!G$14))
/ ('Nutritional status distribution'!G$14/(1-'Nutritional status distribution'!G$14)))</f>
        <v>0.86018960644328235</v>
      </c>
      <c r="H67" s="90">
        <f>IF(ISBLANK('Nutritional status distribution'!H$14),0.92,(0.92*'Nutritional status distribution'!H$14/(1-0.92*'Nutritional status distribution'!H$14))
/ ('Nutritional status distribution'!H$14/(1-'Nutritional status distribution'!H$14)))</f>
        <v>0.85530313992186369</v>
      </c>
      <c r="I67" s="90">
        <f>IF(ISBLANK('Nutritional status distribution'!I$14),0.92,(0.92*'Nutritional status distribution'!I$14/(1-0.92*'Nutritional status distribution'!I$14))
/ ('Nutritional status distribution'!I$14/(1-'Nutritional status distribution'!I$14)))</f>
        <v>0.85530313992186369</v>
      </c>
      <c r="J67" s="90">
        <f>IF(ISBLANK('Nutritional status distribution'!J$14),0.92,(0.92*'Nutritional status distribution'!J$14/(1-0.92*'Nutritional status distribution'!J$14))
/ ('Nutritional status distribution'!J$14/(1-'Nutritional status distribution'!J$14)))</f>
        <v>0.85530313992186369</v>
      </c>
      <c r="K67" s="90">
        <f>IF(ISBLANK('Nutritional status distribution'!K$14),0.92,(0.92*'Nutritional status distribution'!K$14/(1-0.92*'Nutritional status distribution'!K$14))
/ ('Nutritional status distribution'!K$14/(1-'Nutritional status distribution'!K$14)))</f>
        <v>0.85530313992186369</v>
      </c>
      <c r="L67" s="90">
        <f>IF(ISBLANK('Nutritional status distribution'!L$14),0.92,(0.92*'Nutritional status distribution'!L$14/(1-0.92*'Nutritional status distribution'!L$14))
/ ('Nutritional status distribution'!L$14/(1-'Nutritional status distribution'!L$14)))</f>
        <v>0.87664980880720367</v>
      </c>
      <c r="M67" s="90">
        <f>IF(ISBLANK('Nutritional status distribution'!M$14),0.92,(0.92*'Nutritional status distribution'!M$14/(1-0.92*'Nutritional status distribution'!M$14))
/ ('Nutritional status distribution'!M$14/(1-'Nutritional status distribution'!M$14)))</f>
        <v>0.87664980880720367</v>
      </c>
      <c r="N67" s="90">
        <f>IF(ISBLANK('Nutritional status distribution'!N$14),0.92,(0.92*'Nutritional status distribution'!N$14/(1-0.92*'Nutritional status distribution'!N$14))
/ ('Nutritional status distribution'!N$14/(1-'Nutritional status distribution'!N$14)))</f>
        <v>0.87664980880720367</v>
      </c>
      <c r="O67" s="90">
        <f>IF(ISBLANK('Nutritional status distribution'!O$14),0.92,(0.92*'Nutritional status distribution'!O$14/(1-0.92*'Nutritional status distribution'!O$14))
/ ('Nutritional status distribution'!O$14/(1-'Nutritional status distribution'!O$14)))</f>
        <v>0.87664980880720367</v>
      </c>
    </row>
  </sheetData>
  <sheetProtection algorithmName="SHA-512" hashValue="5E4/fU0YrOkGG2Hv0Mhd9VJh6iiQ1qcGQEazL7y5naC8dh8VOCyLDhqF1Lc1e0ZxJ4qiXkt0dlS0YLJ5ewJqug==" saltValue="CPKT7vn/WqRwVrSBV8Eaa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ht="13" customHeight="1" x14ac:dyDescent="0.3">
      <c r="A2" s="4" t="s">
        <v>328</v>
      </c>
    </row>
    <row r="3" spans="1:7" x14ac:dyDescent="0.25">
      <c r="B3" s="11" t="s">
        <v>157</v>
      </c>
      <c r="C3" s="90">
        <v>1</v>
      </c>
      <c r="D3" s="90">
        <f>IF(ISBLANK('Nutritional status distribution'!D$11),0.86,(0.86*'Nutritional status distribution'!D$11/(1-0.86*'Nutritional status distribution'!D$11))
/ ('Nutritional status distribution'!D$11/(1-'Nutritional status distribution'!D$11)))</f>
        <v>0.85339350814017667</v>
      </c>
      <c r="E3" s="90">
        <f>IF(ISBLANK('Nutritional status distribution'!E$11),0.86,(0.86*'Nutritional status distribution'!E$11/(1-0.86*'Nutritional status distribution'!E$11))
/ ('Nutritional status distribution'!E$11/(1-'Nutritional status distribution'!E$11)))</f>
        <v>0.85492326614572689</v>
      </c>
      <c r="F3" s="90">
        <f>IF(ISBLANK('Nutritional status distribution'!F$11),0.86,(0.86*'Nutritional status distribution'!F$11/(1-0.86*'Nutritional status distribution'!F$11))
/ ('Nutritional status distribution'!F$11/(1-'Nutritional status distribution'!F$11)))</f>
        <v>0.85577237281740903</v>
      </c>
      <c r="G3" s="90">
        <f>IF(ISBLANK('Nutritional status distribution'!G$11),0.86,(0.86*'Nutritional status distribution'!G$11/(1-0.86*'Nutritional status distribution'!G$11))
/ ('Nutritional status distribution'!G$11/(1-'Nutritional status distribution'!G$11)))</f>
        <v>0.85741279646015633</v>
      </c>
    </row>
    <row r="4" spans="1:7" ht="13" customHeight="1" x14ac:dyDescent="0.3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f>IF(ISBLANK('Nutritional status distribution'!D$10),0.86,(0.86*'Nutritional status distribution'!D$10/(1-0.86*'Nutritional status distribution'!D$10))
/ ('Nutritional status distribution'!D$10/(1-'Nutritional status distribution'!D$10)))</f>
        <v>0.84918100850396083</v>
      </c>
      <c r="E5" s="90">
        <f>IF(ISBLANK('Nutritional status distribution'!E$10),0.86,(0.86*'Nutritional status distribution'!E$10/(1-0.86*'Nutritional status distribution'!E$10))
/ ('Nutritional status distribution'!E$10/(1-'Nutritional status distribution'!E$10)))</f>
        <v>0.84860930795421874</v>
      </c>
      <c r="F5" s="90">
        <f>IF(ISBLANK('Nutritional status distribution'!F$10),0.86,(0.86*'Nutritional status distribution'!F$10/(1-0.86*'Nutritional status distribution'!F$10))
/ ('Nutritional status distribution'!F$10/(1-'Nutritional status distribution'!F$10)))</f>
        <v>0.84899732800819094</v>
      </c>
      <c r="G5" s="90">
        <f>IF(ISBLANK('Nutritional status distribution'!G$10),0.86,(0.86*'Nutritional status distribution'!G$10/(1-0.86*'Nutritional status distribution'!G$10))
/ ('Nutritional status distribution'!G$10/(1-'Nutritional status distribution'!G$10)))</f>
        <v>0.85202534433126076</v>
      </c>
    </row>
    <row r="7" spans="1:7" s="92" customFormat="1" ht="13" customHeight="1" x14ac:dyDescent="0.3">
      <c r="A7" s="92" t="s">
        <v>330</v>
      </c>
    </row>
    <row r="8" spans="1:7" ht="13" customHeight="1" x14ac:dyDescent="0.3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ht="13" customHeight="1" x14ac:dyDescent="0.3">
      <c r="A9" s="4" t="s">
        <v>331</v>
      </c>
    </row>
    <row r="10" spans="1:7" x14ac:dyDescent="0.25">
      <c r="B10" s="11" t="s">
        <v>157</v>
      </c>
      <c r="C10" s="90">
        <f>C3*0.9</f>
        <v>0.9</v>
      </c>
      <c r="D10" s="90">
        <f>D3*0.9</f>
        <v>0.768054157326159</v>
      </c>
      <c r="E10" s="90">
        <f>E3*0.9</f>
        <v>0.76943093953115427</v>
      </c>
      <c r="F10" s="90">
        <f>F3*0.9</f>
        <v>0.7701951355356681</v>
      </c>
      <c r="G10" s="90">
        <f>G3*0.9</f>
        <v>0.7716715168141407</v>
      </c>
    </row>
    <row r="11" spans="1:7" ht="13" customHeight="1" x14ac:dyDescent="0.3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f>C5*0.9</f>
        <v>0.9</v>
      </c>
      <c r="D12" s="90">
        <f>D5*0.9</f>
        <v>0.76426290765356475</v>
      </c>
      <c r="E12" s="90">
        <f>E5*0.9</f>
        <v>0.76374837715879684</v>
      </c>
      <c r="F12" s="90">
        <f>F5*0.9</f>
        <v>0.76409759520737186</v>
      </c>
      <c r="G12" s="90">
        <f>G5*0.9</f>
        <v>0.76682280989813467</v>
      </c>
    </row>
    <row r="14" spans="1:7" s="92" customFormat="1" ht="13" customHeight="1" x14ac:dyDescent="0.3">
      <c r="A14" s="92" t="s">
        <v>333</v>
      </c>
    </row>
    <row r="15" spans="1:7" ht="13" customHeight="1" x14ac:dyDescent="0.3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ht="13" customHeight="1" x14ac:dyDescent="0.3">
      <c r="A16" s="4" t="s">
        <v>334</v>
      </c>
    </row>
    <row r="17" spans="1:7" x14ac:dyDescent="0.25">
      <c r="B17" s="11" t="s">
        <v>157</v>
      </c>
      <c r="C17" s="90">
        <f>C3*1.05</f>
        <v>1.05</v>
      </c>
      <c r="D17" s="90">
        <f>D3*1.05</f>
        <v>0.8960631835471855</v>
      </c>
      <c r="E17" s="90">
        <f>E3*1.05</f>
        <v>0.89766942945301331</v>
      </c>
      <c r="F17" s="90">
        <f>F3*1.05</f>
        <v>0.8985609914582795</v>
      </c>
      <c r="G17" s="90">
        <f>G3*1.05</f>
        <v>0.90028343628316421</v>
      </c>
    </row>
    <row r="18" spans="1:7" ht="13" customHeight="1" x14ac:dyDescent="0.3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f>C5*1.05</f>
        <v>1.05</v>
      </c>
      <c r="D19" s="90">
        <f>D5*1.05</f>
        <v>0.89164005892915887</v>
      </c>
      <c r="E19" s="90">
        <f>E5*1.05</f>
        <v>0.89103977335192974</v>
      </c>
      <c r="F19" s="90">
        <f>F5*1.05</f>
        <v>0.89144719440860054</v>
      </c>
      <c r="G19" s="90">
        <f>G5*1.05</f>
        <v>0.89462661154782386</v>
      </c>
    </row>
  </sheetData>
  <sheetProtection algorithmName="SHA-512" hashValue="rh3aeqCmwK5LUy0062FYC8oqZnuM6EQQeK3vU6vJfJhrVJmJHWUXBqY0Fi1KJOjJNWFBuavOyRQTLtB9HDSLfg==" saltValue="pLj7cI82/Uz0ghxOToNzMA==" spinCount="100000" sheet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340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340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340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340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82</v>
      </c>
      <c r="C45" s="5" t="s">
        <v>338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340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330</v>
      </c>
      <c r="B55" s="97"/>
      <c r="C55" s="97"/>
    </row>
    <row r="56" spans="1:8" ht="13" customHeight="1" x14ac:dyDescent="0.3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340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340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204</v>
      </c>
      <c r="C62" s="5" t="s">
        <v>338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340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340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204</v>
      </c>
      <c r="C66" s="5" t="s">
        <v>338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340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340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204</v>
      </c>
      <c r="C70" s="5" t="s">
        <v>338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340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340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204</v>
      </c>
      <c r="C74" s="5" t="s">
        <v>338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340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339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339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340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339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340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339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340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339</v>
      </c>
      <c r="D92" s="90">
        <f t="shared" si="4"/>
        <v>0</v>
      </c>
      <c r="E92" s="90">
        <f t="shared" si="4"/>
        <v>0</v>
      </c>
      <c r="F92" s="90">
        <f t="shared" ref="F92:G111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340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339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340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339</v>
      </c>
      <c r="D98" s="90">
        <f t="shared" ref="D98:E117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340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82</v>
      </c>
      <c r="C100" s="5" t="s">
        <v>338</v>
      </c>
      <c r="D100" s="90">
        <f t="shared" si="6"/>
        <v>0.3</v>
      </c>
      <c r="E100" s="90">
        <f t="shared" si="6"/>
        <v>0.3</v>
      </c>
      <c r="F100" s="90">
        <f t="shared" si="5"/>
        <v>0.3</v>
      </c>
      <c r="G100" s="90">
        <f t="shared" si="5"/>
        <v>0.3</v>
      </c>
      <c r="H100" s="90">
        <f t="shared" si="2"/>
        <v>0.3</v>
      </c>
    </row>
    <row r="101" spans="1:8" x14ac:dyDescent="0.25">
      <c r="C101" s="5" t="s">
        <v>339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340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f t="shared" si="6"/>
        <v>0.88</v>
      </c>
      <c r="E103" s="90">
        <f t="shared" si="6"/>
        <v>0.88</v>
      </c>
      <c r="F103" s="90">
        <f t="shared" si="5"/>
        <v>0.88</v>
      </c>
      <c r="G103" s="90">
        <f t="shared" si="5"/>
        <v>0.88</v>
      </c>
      <c r="H103" s="90">
        <f t="shared" si="2"/>
        <v>0.88</v>
      </c>
    </row>
    <row r="104" spans="1:8" x14ac:dyDescent="0.25">
      <c r="C104" s="5" t="s">
        <v>339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339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f t="shared" si="6"/>
        <v>0.57999999999999996</v>
      </c>
      <c r="E107" s="90">
        <f t="shared" si="6"/>
        <v>0.57999999999999996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339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333</v>
      </c>
      <c r="B110" s="97"/>
      <c r="C110" s="97"/>
    </row>
    <row r="111" spans="1:8" ht="13" customHeight="1" x14ac:dyDescent="0.3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339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340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340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204</v>
      </c>
      <c r="C117" s="5" t="s">
        <v>338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340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340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204</v>
      </c>
      <c r="C121" s="5" t="s">
        <v>338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340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340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204</v>
      </c>
      <c r="C125" s="5" t="s">
        <v>338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340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340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204</v>
      </c>
      <c r="C129" s="5" t="s">
        <v>338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340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339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339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339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339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340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339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340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339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340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339</v>
      </c>
      <c r="D147" s="90">
        <f t="shared" si="11"/>
        <v>0</v>
      </c>
      <c r="E147" s="90">
        <f t="shared" si="11"/>
        <v>0</v>
      </c>
      <c r="F147" s="90">
        <f t="shared" ref="F147:G166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340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339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340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339</v>
      </c>
      <c r="D153" s="90">
        <f t="shared" ref="D153:E172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340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82</v>
      </c>
      <c r="C155" s="5" t="s">
        <v>338</v>
      </c>
      <c r="D155" s="90">
        <f t="shared" si="13"/>
        <v>0.3</v>
      </c>
      <c r="E155" s="90">
        <f t="shared" si="13"/>
        <v>0.3</v>
      </c>
      <c r="F155" s="90">
        <f t="shared" si="12"/>
        <v>0.3</v>
      </c>
      <c r="G155" s="90">
        <f t="shared" si="12"/>
        <v>0.3</v>
      </c>
      <c r="H155" s="90">
        <f t="shared" si="9"/>
        <v>0.3</v>
      </c>
    </row>
    <row r="156" spans="1:8" x14ac:dyDescent="0.25">
      <c r="C156" s="5" t="s">
        <v>339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340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f t="shared" si="13"/>
        <v>0.88</v>
      </c>
      <c r="E158" s="90">
        <f t="shared" si="13"/>
        <v>0.88</v>
      </c>
      <c r="F158" s="90">
        <f t="shared" si="12"/>
        <v>0.88</v>
      </c>
      <c r="G158" s="90">
        <f t="shared" si="12"/>
        <v>0.88</v>
      </c>
      <c r="H158" s="90">
        <f t="shared" si="9"/>
        <v>0.88</v>
      </c>
    </row>
    <row r="159" spans="1:8" x14ac:dyDescent="0.25">
      <c r="C159" s="5" t="s">
        <v>339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339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f t="shared" si="13"/>
        <v>0.57999999999999996</v>
      </c>
      <c r="E162" s="90">
        <f t="shared" si="13"/>
        <v>0.57999999999999996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339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S17bbKhZEnsAN7/34ofCwjNMghXzKja0+LzOrpQVx+Vbu8Kro6Ow3Xz/reSwONgxDcH3QFdIneVJnYT6jAaajQ==" saltValue="QbYZp8bM2doOhTFWWdYQ4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330</v>
      </c>
    </row>
    <row r="10" spans="1:8" ht="13" customHeight="1" x14ac:dyDescent="0.3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339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333</v>
      </c>
    </row>
    <row r="19" spans="1:7" ht="13" customHeight="1" x14ac:dyDescent="0.3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339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fD/NtwVK+PcHRoArucEDXjoVAZq+Pdy470QWlajpbBg2wctMnQZDqFBoDJ6KQlUgzLMhwAsoHQieijhL0r6RZg==" saltValue="RgQq0XI9XWb56YL04pAAKA==" spinCount="100000" sheet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2024-03-15T01:42:51Z</dcterms:modified>
</cp:coreProperties>
</file>