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5C3C9BB4-0CA6-4F67-B229-1F30168F1B6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C12" i="26"/>
  <c r="C10" i="26"/>
  <c r="G5" i="26"/>
  <c r="G12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27" i="2"/>
  <c r="A24" i="2"/>
  <c r="A23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H3" i="2"/>
  <c r="I3" i="2" s="1"/>
  <c r="G3" i="2"/>
  <c r="I2" i="2"/>
  <c r="H2" i="2"/>
  <c r="G2" i="2"/>
  <c r="A2" i="2"/>
  <c r="A36" i="2" s="1"/>
  <c r="C33" i="1"/>
  <c r="C20" i="1"/>
  <c r="A13" i="2" l="1"/>
  <c r="A29" i="2"/>
  <c r="E10" i="26"/>
  <c r="A31" i="2"/>
  <c r="F19" i="26"/>
  <c r="G19" i="26"/>
  <c r="A15" i="2"/>
  <c r="A16" i="2"/>
  <c r="A32" i="2"/>
  <c r="I40" i="2"/>
  <c r="A35" i="2"/>
  <c r="A19" i="2"/>
  <c r="A3" i="2"/>
  <c r="A21" i="2"/>
  <c r="A37" i="2"/>
  <c r="A14" i="2"/>
  <c r="A22" i="2"/>
  <c r="A30" i="2"/>
  <c r="A38" i="2"/>
  <c r="A40" i="2"/>
  <c r="D10" i="26"/>
  <c r="E19" i="26"/>
  <c r="F10" i="26"/>
  <c r="A17" i="2"/>
  <c r="A25" i="2"/>
  <c r="A33" i="2"/>
  <c r="G10" i="26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<sst xmlns="http://schemas.openxmlformats.org/spreadsheetml/2006/main" count="2092" uniqueCount="341">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</sst>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683822.72265625</v>
      </c>
    </row>
    <row r="8" spans="1:3" ht="15" customHeight="1" x14ac:dyDescent="0.25">
      <c r="B8" s="5" t="s">
        <v>44</v>
      </c>
      <c r="C8" s="44">
        <v>0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0.91188728330000002</v>
      </c>
    </row>
    <row r="11" spans="1:3" ht="15" customHeight="1" x14ac:dyDescent="0.25">
      <c r="B11" s="5" t="s">
        <v>49</v>
      </c>
      <c r="C11" s="45">
        <v>0.66099999999999992</v>
      </c>
    </row>
    <row r="12" spans="1:3" ht="15" customHeight="1" x14ac:dyDescent="0.25">
      <c r="B12" s="5" t="s">
        <v>41</v>
      </c>
      <c r="C12" s="45">
        <v>0.32500000000000001</v>
      </c>
    </row>
    <row r="13" spans="1:3" ht="15" customHeight="1" x14ac:dyDescent="0.25">
      <c r="B13" s="5" t="s">
        <v>62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0.1489</v>
      </c>
    </row>
    <row r="24" spans="1:3" ht="15" customHeight="1" x14ac:dyDescent="0.25">
      <c r="B24" s="15" t="s">
        <v>46</v>
      </c>
      <c r="C24" s="45">
        <v>0.65529999999999999</v>
      </c>
    </row>
    <row r="25" spans="1:3" ht="15" customHeight="1" x14ac:dyDescent="0.25">
      <c r="B25" s="15" t="s">
        <v>47</v>
      </c>
      <c r="C25" s="45">
        <v>0.1857</v>
      </c>
    </row>
    <row r="26" spans="1:3" ht="15" customHeight="1" x14ac:dyDescent="0.25">
      <c r="B26" s="15" t="s">
        <v>48</v>
      </c>
      <c r="C26" s="45">
        <v>1.01E-2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0.43972863222198599</v>
      </c>
    </row>
    <row r="30" spans="1:3" ht="14.25" customHeight="1" x14ac:dyDescent="0.25">
      <c r="B30" s="25" t="s">
        <v>63</v>
      </c>
      <c r="C30" s="99">
        <v>0.101814244205091</v>
      </c>
    </row>
    <row r="31" spans="1:3" ht="14.25" customHeight="1" x14ac:dyDescent="0.25">
      <c r="B31" s="25" t="s">
        <v>10</v>
      </c>
      <c r="C31" s="99">
        <v>9.9255704254962801E-2</v>
      </c>
    </row>
    <row r="32" spans="1:3" ht="14.25" customHeight="1" x14ac:dyDescent="0.25">
      <c r="B32" s="25" t="s">
        <v>11</v>
      </c>
      <c r="C32" s="99">
        <v>0.35920141931796001</v>
      </c>
    </row>
    <row r="33" spans="1:5" ht="13" customHeight="1" x14ac:dyDescent="0.25">
      <c r="B33" s="27" t="s">
        <v>60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10.891816440132301</v>
      </c>
    </row>
    <row r="38" spans="1:5" ht="15" customHeight="1" x14ac:dyDescent="0.25">
      <c r="B38" s="11" t="s">
        <v>35</v>
      </c>
      <c r="C38" s="43">
        <v>18.237575383160301</v>
      </c>
      <c r="D38" s="12"/>
      <c r="E38" s="13"/>
    </row>
    <row r="39" spans="1:5" ht="15" customHeight="1" x14ac:dyDescent="0.25">
      <c r="B39" s="11" t="s">
        <v>61</v>
      </c>
      <c r="C39" s="43">
        <v>20.434556463374399</v>
      </c>
      <c r="D39" s="12"/>
      <c r="E39" s="12"/>
    </row>
    <row r="40" spans="1:5" ht="15" customHeight="1" x14ac:dyDescent="0.25">
      <c r="B40" s="11" t="s">
        <v>36</v>
      </c>
      <c r="C40" s="100">
        <v>0.26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8.9704989719999997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9.4067999999999999E-3</v>
      </c>
      <c r="D45" s="12"/>
    </row>
    <row r="46" spans="1:5" ht="15.75" customHeight="1" x14ac:dyDescent="0.25">
      <c r="B46" s="11" t="s">
        <v>51</v>
      </c>
      <c r="C46" s="45">
        <v>7.8700699999999998E-2</v>
      </c>
      <c r="D46" s="12"/>
    </row>
    <row r="47" spans="1:5" ht="15.75" customHeight="1" x14ac:dyDescent="0.25">
      <c r="B47" s="11" t="s">
        <v>59</v>
      </c>
      <c r="C47" s="45">
        <v>7.7909900000000004E-2</v>
      </c>
      <c r="D47" s="12"/>
      <c r="E47" s="13"/>
    </row>
    <row r="48" spans="1:5" ht="15" customHeight="1" x14ac:dyDescent="0.25">
      <c r="B48" s="11" t="s">
        <v>58</v>
      </c>
      <c r="C48" s="46">
        <v>0.83398259999999991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0.57557999999999998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7.2826089999999899E-2</v>
      </c>
    </row>
    <row r="63" spans="1:4" ht="15.75" customHeight="1" x14ac:dyDescent="0.3">
      <c r="A63" s="4"/>
    </row>
  </sheetData>
  <sheetProtection algorithmName="SHA-512" hashValue="1tfXGyUWIWQzGiVGk3wAYtTRjFsh9LaJzUmaiWQsqCm6lO5f4ue1GCr8xSHRCmOm+AKYSmqKd1iB5gHYITc2dQ==" saltValue="zq7wyq9aZy88KBiJRnzw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9.2061889043450404E-2</v>
      </c>
      <c r="C2" s="98">
        <v>0.95</v>
      </c>
      <c r="D2" s="56">
        <v>56.337138300604238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39.842199870999643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387.87092573663659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5.8691064570772804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12.974499314795549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12.974499314795549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12.974499314795549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12.974499314795549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12.974499314795549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12.974499314795549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0.19576896810135599</v>
      </c>
      <c r="C16" s="98">
        <v>0.95</v>
      </c>
      <c r="D16" s="56">
        <v>0.68126511469090134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8.9498000901640609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8.9498000901640609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69.283092298354532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22.370086288750748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1.4E-2</v>
      </c>
      <c r="C23" s="98">
        <v>0.95</v>
      </c>
      <c r="D23" s="56">
        <v>4.2557875816009592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0.58118711531353195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0.118063351565599</v>
      </c>
      <c r="C27" s="98">
        <v>0.95</v>
      </c>
      <c r="D27" s="56">
        <v>18.535649720195959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0.21083840000000001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109.78567093836929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1.2514852015075351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8.5698490000000002E-2</v>
      </c>
      <c r="C32" s="98">
        <v>0.95</v>
      </c>
      <c r="D32" s="56">
        <v>1.45890481734541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0.92511445347125898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0.41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2.24059070083436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0.34978969999999998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4SXTcqhcBMiX+xd3D9NXODf4E1Xbabk5j99u0duN4bdkSas5a/vJem/BydU/EJli11V6sv2r3ZBP41XqyB6laA==" saltValue="Dk1Fel1Th/6f+UMfc5JS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/cCZqc+qJgszXuThIZjRrYZKmBBegHWpj+v9LjMp3KQwNuMwnv6JAc4caT+O/OUNKXPd0qhDpMwsQO++0DzMgg==" saltValue="odtXhDf1BaOX65PFrDR7Q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7mcFvEocHCUXUIFCfMA68j+FrOSiao7wvMIBXBlA/BWLvia0bLqNQkbVzsZC6LZWouZQxHvJj5521OxjQYX+Vg==" saltValue="jMf9A1GKhqmrV4s8PqPCP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0.32973110377788623</v>
      </c>
      <c r="C3" s="21">
        <f>frac_mam_1_5months * 2.6</f>
        <v>0.32973110377788623</v>
      </c>
      <c r="D3" s="21">
        <f>frac_mam_6_11months * 2.6</f>
        <v>0.31419860124588</v>
      </c>
      <c r="E3" s="21">
        <f>frac_mam_12_23months * 2.6</f>
        <v>8.4434492141008358E-2</v>
      </c>
      <c r="F3" s="21">
        <f>frac_mam_24_59months * 2.6</f>
        <v>6.0749116912484261E-2</v>
      </c>
    </row>
    <row r="4" spans="1:6" ht="15.75" customHeight="1" x14ac:dyDescent="0.25">
      <c r="A4" s="3" t="s">
        <v>207</v>
      </c>
      <c r="B4" s="21">
        <f>frac_sam_1month * 2.6</f>
        <v>0.13338768184185029</v>
      </c>
      <c r="C4" s="21">
        <f>frac_sam_1_5months * 2.6</f>
        <v>0.13338768184185029</v>
      </c>
      <c r="D4" s="21">
        <f>frac_sam_6_11months * 2.6</f>
        <v>7.3564464971423146E-2</v>
      </c>
      <c r="E4" s="21">
        <f>frac_sam_12_23months * 2.6</f>
        <v>5.9594119712710447E-2</v>
      </c>
      <c r="F4" s="21">
        <f>frac_sam_24_59months * 2.6</f>
        <v>3.5333008691668479E-2</v>
      </c>
    </row>
  </sheetData>
  <sheetProtection algorithmName="SHA-512" hashValue="XXArpnB1uF/WtJlXOkA5vg+W8kQL1PutB7ZDgUyBm8ntYkGlsTX+t7Ow3Lf7ZmY/KDxDa+CWea3ywKPjJz+zWw==" saltValue="albRbJAp4Bsnz3D0kG3c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0.32500000000000001</v>
      </c>
      <c r="E10" s="60">
        <f>IF(ISBLANK(comm_deliv), frac_children_health_facility,1)</f>
        <v>0.32500000000000001</v>
      </c>
      <c r="F10" s="60">
        <f>IF(ISBLANK(comm_deliv), frac_children_health_facility,1)</f>
        <v>0.32500000000000001</v>
      </c>
      <c r="G10" s="60">
        <f>IF(ISBLANK(comm_deliv), frac_children_health_facility,1)</f>
        <v>0.32500000000000001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0.66099999999999992</v>
      </c>
      <c r="I18" s="60">
        <f>frac_PW_health_facility</f>
        <v>0.66099999999999992</v>
      </c>
      <c r="J18" s="60">
        <f>frac_PW_health_facility</f>
        <v>0.66099999999999992</v>
      </c>
      <c r="K18" s="60">
        <f>frac_PW_health_facility</f>
        <v>0.66099999999999992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4.3175231182999992E-2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1.8503670506999994E-2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2.6433815009999993E-2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EkteIa/ZrX2sZpyW6tsk3nXXkdcIhzI2/51kvF2QG0GgHi+rzN22k2xc0lEYHbTU5dSHw0v7D+glQsWM78jMlQ==" saltValue="Lm2PtYFNrUXfj5bxDFgzN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zfshHJ9iqHYWDV7nAJZeRPa8zIKFtv/6Ph9Rzz4MGvzHQZ/Ij1zatZZwnkk/KQO9CgEMkJzHH2NuvwR81I1tZQ==" saltValue="xwtEnjjtk5t7tSUCsJ82/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5za5wMmef8MjI3eMcVY4BbLvJFm74rm8w4dX/SwwaFFm5GtR4EF7AFG0YC1M/I4KKb4moloWL5Dp9B6drVNkQ==" saltValue="29xQkt7UVqWqxcv7b4PIg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+F7SewB2Zq7QN05/I6bFeH3qeNKL9jNhd1yJbD8CCss6IR9OYzcxi6uUg/IztlqvuGxVmI0j0RrBZRgHcZJwAg==" saltValue="MNitvBDjN87uWg9p+R7s4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6sKxogtpLoPS7LXMetkL12gd7tlPVSkcUHfmp5itIueOAAaPsTMjKFYKCZ28qMIR7UEZ5A1Nx0knAAGzqAIfdw==" saltValue="Vij9gH5LBYo8oDNhq1OQJ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Weqpgq9uAahZkbTKveKwnvX5YgxKyI1Rg7KW8kmoydJGxHr813sqSHlc2dtnR0EpswN5XXgODajWKfxIhjghg==" saltValue="uv0DRuWBQ/SdBYrQQN38H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151509.33240000001</v>
      </c>
      <c r="C2" s="49">
        <v>296000</v>
      </c>
      <c r="D2" s="49">
        <v>748000</v>
      </c>
      <c r="E2" s="49">
        <v>907000</v>
      </c>
      <c r="F2" s="49">
        <v>670000</v>
      </c>
      <c r="G2" s="17">
        <f t="shared" ref="G2:G11" si="0">C2+D2+E2+F2</f>
        <v>2621000</v>
      </c>
      <c r="H2" s="17">
        <f t="shared" ref="H2:H11" si="1">(B2 + stillbirth*B2/(1000-stillbirth))/(1-abortion)</f>
        <v>173728.12386563508</v>
      </c>
      <c r="I2" s="17">
        <f t="shared" ref="I2:I11" si="2">G2-H2</f>
        <v>2447271.8761343649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147964.0932</v>
      </c>
      <c r="C3" s="50">
        <v>299000</v>
      </c>
      <c r="D3" s="50">
        <v>715000</v>
      </c>
      <c r="E3" s="50">
        <v>919000</v>
      </c>
      <c r="F3" s="50">
        <v>684000</v>
      </c>
      <c r="G3" s="17">
        <f t="shared" si="0"/>
        <v>2617000</v>
      </c>
      <c r="H3" s="17">
        <f t="shared" si="1"/>
        <v>169662.97655678913</v>
      </c>
      <c r="I3" s="17">
        <f t="shared" si="2"/>
        <v>2447337.0234432109</v>
      </c>
    </row>
    <row r="4" spans="1:9" ht="15.75" customHeight="1" x14ac:dyDescent="0.25">
      <c r="A4" s="5">
        <f t="shared" si="3"/>
        <v>2023</v>
      </c>
      <c r="B4" s="49">
        <v>144283.31039999999</v>
      </c>
      <c r="C4" s="50">
        <v>304000</v>
      </c>
      <c r="D4" s="50">
        <v>684000</v>
      </c>
      <c r="E4" s="50">
        <v>924000</v>
      </c>
      <c r="F4" s="50">
        <v>701000</v>
      </c>
      <c r="G4" s="17">
        <f t="shared" si="0"/>
        <v>2613000</v>
      </c>
      <c r="H4" s="17">
        <f t="shared" si="1"/>
        <v>165442.40822564057</v>
      </c>
      <c r="I4" s="17">
        <f t="shared" si="2"/>
        <v>2447557.5917743593</v>
      </c>
    </row>
    <row r="5" spans="1:9" ht="15.75" customHeight="1" x14ac:dyDescent="0.25">
      <c r="A5" s="5">
        <f t="shared" si="3"/>
        <v>2024</v>
      </c>
      <c r="B5" s="49">
        <v>140473.74299999999</v>
      </c>
      <c r="C5" s="50">
        <v>312000</v>
      </c>
      <c r="D5" s="50">
        <v>657000</v>
      </c>
      <c r="E5" s="50">
        <v>921000</v>
      </c>
      <c r="F5" s="50">
        <v>722000</v>
      </c>
      <c r="G5" s="17">
        <f t="shared" si="0"/>
        <v>2612000</v>
      </c>
      <c r="H5" s="17">
        <f t="shared" si="1"/>
        <v>161074.1690772138</v>
      </c>
      <c r="I5" s="17">
        <f t="shared" si="2"/>
        <v>2450925.8309227861</v>
      </c>
    </row>
    <row r="6" spans="1:9" ht="15.75" customHeight="1" x14ac:dyDescent="0.25">
      <c r="A6" s="5">
        <f t="shared" si="3"/>
        <v>2025</v>
      </c>
      <c r="B6" s="49">
        <v>136555.20000000001</v>
      </c>
      <c r="C6" s="50">
        <v>324000</v>
      </c>
      <c r="D6" s="50">
        <v>635000</v>
      </c>
      <c r="E6" s="50">
        <v>911000</v>
      </c>
      <c r="F6" s="50">
        <v>745000</v>
      </c>
      <c r="G6" s="17">
        <f t="shared" si="0"/>
        <v>2615000</v>
      </c>
      <c r="H6" s="17">
        <f t="shared" si="1"/>
        <v>156580.97309454301</v>
      </c>
      <c r="I6" s="17">
        <f t="shared" si="2"/>
        <v>2458419.026905457</v>
      </c>
    </row>
    <row r="7" spans="1:9" ht="15.75" customHeight="1" x14ac:dyDescent="0.25">
      <c r="A7" s="5">
        <f t="shared" si="3"/>
        <v>2026</v>
      </c>
      <c r="B7" s="49">
        <v>135509.70480000001</v>
      </c>
      <c r="C7" s="50">
        <v>339000</v>
      </c>
      <c r="D7" s="50">
        <v>620000</v>
      </c>
      <c r="E7" s="50">
        <v>894000</v>
      </c>
      <c r="F7" s="50">
        <v>772000</v>
      </c>
      <c r="G7" s="17">
        <f t="shared" si="0"/>
        <v>2625000</v>
      </c>
      <c r="H7" s="17">
        <f t="shared" si="1"/>
        <v>155382.15638319351</v>
      </c>
      <c r="I7" s="17">
        <f t="shared" si="2"/>
        <v>2469617.8436168064</v>
      </c>
    </row>
    <row r="8" spans="1:9" ht="15.75" customHeight="1" x14ac:dyDescent="0.25">
      <c r="A8" s="5">
        <f t="shared" si="3"/>
        <v>2027</v>
      </c>
      <c r="B8" s="49">
        <v>134408.08679999999</v>
      </c>
      <c r="C8" s="50">
        <v>358000</v>
      </c>
      <c r="D8" s="50">
        <v>611000</v>
      </c>
      <c r="E8" s="50">
        <v>869000</v>
      </c>
      <c r="F8" s="50">
        <v>801000</v>
      </c>
      <c r="G8" s="17">
        <f t="shared" si="0"/>
        <v>2639000</v>
      </c>
      <c r="H8" s="17">
        <f t="shared" si="1"/>
        <v>154118.98648253453</v>
      </c>
      <c r="I8" s="17">
        <f t="shared" si="2"/>
        <v>2484881.0135174654</v>
      </c>
    </row>
    <row r="9" spans="1:9" ht="15.75" customHeight="1" x14ac:dyDescent="0.25">
      <c r="A9" s="5">
        <f t="shared" si="3"/>
        <v>2028</v>
      </c>
      <c r="B9" s="49">
        <v>133251.84359999999</v>
      </c>
      <c r="C9" s="50">
        <v>377000</v>
      </c>
      <c r="D9" s="50">
        <v>607000</v>
      </c>
      <c r="E9" s="50">
        <v>840000</v>
      </c>
      <c r="F9" s="50">
        <v>831000</v>
      </c>
      <c r="G9" s="17">
        <f t="shared" si="0"/>
        <v>2655000</v>
      </c>
      <c r="H9" s="17">
        <f t="shared" si="1"/>
        <v>152793.18061509082</v>
      </c>
      <c r="I9" s="17">
        <f t="shared" si="2"/>
        <v>2502206.8193849092</v>
      </c>
    </row>
    <row r="10" spans="1:9" ht="15.75" customHeight="1" x14ac:dyDescent="0.25">
      <c r="A10" s="5">
        <f t="shared" si="3"/>
        <v>2029</v>
      </c>
      <c r="B10" s="49">
        <v>132030.08840000001</v>
      </c>
      <c r="C10" s="50">
        <v>392000</v>
      </c>
      <c r="D10" s="50">
        <v>610000</v>
      </c>
      <c r="E10" s="50">
        <v>808000</v>
      </c>
      <c r="F10" s="50">
        <v>858000</v>
      </c>
      <c r="G10" s="17">
        <f t="shared" si="0"/>
        <v>2668000</v>
      </c>
      <c r="H10" s="17">
        <f t="shared" si="1"/>
        <v>151392.25543538827</v>
      </c>
      <c r="I10" s="17">
        <f t="shared" si="2"/>
        <v>2516607.7445646119</v>
      </c>
    </row>
    <row r="11" spans="1:9" ht="15.75" customHeight="1" x14ac:dyDescent="0.25">
      <c r="A11" s="5">
        <f t="shared" si="3"/>
        <v>2030</v>
      </c>
      <c r="B11" s="49">
        <v>130769.254</v>
      </c>
      <c r="C11" s="50">
        <v>401000</v>
      </c>
      <c r="D11" s="50">
        <v>619000</v>
      </c>
      <c r="E11" s="50">
        <v>775000</v>
      </c>
      <c r="F11" s="50">
        <v>879000</v>
      </c>
      <c r="G11" s="17">
        <f t="shared" si="0"/>
        <v>2674000</v>
      </c>
      <c r="H11" s="17">
        <f t="shared" si="1"/>
        <v>149946.52010445198</v>
      </c>
      <c r="I11" s="17">
        <f t="shared" si="2"/>
        <v>2524053.479895548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dJSzLAyyLlXomDKxuTMsf9ZCrJAbre96BeVV45Q0JtZnMTo0+iy+qDLQWE6TuWpU7LGtR0kX1KQPOdxnsMGeg==" saltValue="u/Za6COUMwi8R3qpZKQ+M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1.7232106929289208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1.7232106929289208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1.6124894182882843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1.6124894182882843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1.4778356363994656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1.4778356363994656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1.4046805085119023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1.4046805085119023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1.9944147027772661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1.9944147027772661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1.842172950146391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1.842172950146391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Yb1uoK+ZzmPq4pAFqcoXKYUHyPwwXz97Hv/BOk1csbYR6bcJbZxFISa5Q70ztQbetWkWslUkpiNqBLHINMBW0A==" saltValue="RFiazFBveQWcqL3ZdG1FB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LneMxOGNJXpi85Ubyzs6LWxKlt6zj7jikKEB6SdYPPJZkO1A5saP3QYJVXjhWB+oGYzRaS/Im98PI0TT7cMQ/g==" saltValue="tlf2lV1Lvm09En9qOOgh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8EdgKs0WpiwUA62M7aCkRIXJrcjEL2Rghxcbhq4HgvvhldrZ7JNwcJRHdL3uxjcMYkW9DYn4Bn5SV44HyPse9A==" saltValue="uOsEMwRIVTVuMjYs9yS3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0.60615589454884666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0.60615589454884666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0.8639212745001621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0.8639212745001621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0.8639212745001621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0.8639212745001621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0.40483860085474055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0.40483860085474055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0.83067503902514195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0.83067503902514195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0.83067503902514195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0.83067503902514195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0.90872494567302253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0.90872494567302253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0.89747262932703331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0.89747262932703331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0.89747262932703331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0.89747262932703331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13pCURYrmNbjVmVHd145+F7PM565tz2hzb8mPdUzFSm3FFulAY1UiRigevnRhoGcIwCXRcLLdvEPBIMXmDQbg==" saltValue="pkhqi3jylh7aKsd3KJNf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UJFWygcQ6lGgAifFSvjvkmZ1ocIkLL9PAEfaLjwlT34XWkhpxtyCrrsKIkdWNZqGqXWo7K6PIJNVpEqg1A5hTg==" saltValue="KoHVFavaoOYOlvo51nQR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0.51115793772209017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0.64621072080635289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0.64621072080635289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0.6063434934203128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0.6063434934203128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0.6063434934203128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0.6063434934203128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0.61300309597523228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0.61300309597523228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0.61300309597523228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0.61300309597523228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0.61927495402261645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0.73967054549632305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0.73967054549632305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0.70553592461719661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0.70553592461719661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0.70553592461719661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0.70553592461719661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0.7113163972286376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0.7113163972286376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0.7113163972286376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0.7113163972286376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0.32311790834685222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0.45470085461312404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0.45470085461312404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0.41286089908865803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0.41286089908865803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0.41286089908865803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0.41286089908865803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0.4196608800968914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0.4196608800968914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0.4196608800968914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0.4196608800968914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0.48687187142684485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0.62369474978952644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0.62369474978952644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0.58292784651744745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0.58292784651744745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0.58292784651744745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0.58292784651744745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0.5897155361050328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0.5897155361050328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0.5897155361050328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0.5897155361050328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0.92931906428719502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0.95827607642884738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0.95827607642884738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0.95090257434168524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0.95090257434168524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0.95090257434168524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0.95090257434168524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0.95219275879653231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0.95219275879653231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0.95219275879653231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0.95219275879653231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0.82383142644201979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0.89093326576275633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0.89093326576275633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0.87323318755149892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0.87323318755149892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0.87323318755149892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0.87323318755149892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0.87629886194952999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0.87629886194952999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0.87629886194952999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0.87629886194952999</v>
      </c>
    </row>
  </sheetData>
  <sheetProtection algorithmName="SHA-512" hashValue="UfmaRSFXhRyys2A1d17mQ/ubyiRLJAmJo5gbkUeDSnWr5M8n5c0p2LbElIoZQb3M9hP8xV96mJ29dvVeFh14Xw==" saltValue="ZvQvvWPfja0TMFisBbBT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0.8535380181364145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0.85650843973910928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0.85718484171928533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0.85834446150746513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0.84286172970512885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0.84376268911262342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0.85597769731286322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0.85712916214628565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0.76818421632277312</v>
      </c>
      <c r="E10" s="90">
        <f>E3*0.9</f>
        <v>0.77085759576519841</v>
      </c>
      <c r="F10" s="90">
        <f>F3*0.9</f>
        <v>0.77146635754735682</v>
      </c>
      <c r="G10" s="90">
        <f>G3*0.9</f>
        <v>0.77251001535671859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0.75857555673461596</v>
      </c>
      <c r="E12" s="90">
        <f>E5*0.9</f>
        <v>0.75938642020136105</v>
      </c>
      <c r="F12" s="90">
        <f>F5*0.9</f>
        <v>0.77037992758157692</v>
      </c>
      <c r="G12" s="90">
        <f>G5*0.9</f>
        <v>0.77141624593165714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0.89621491904323525</v>
      </c>
      <c r="E17" s="90">
        <f>E3*1.05</f>
        <v>0.89933386172606478</v>
      </c>
      <c r="F17" s="90">
        <f>F3*1.05</f>
        <v>0.90004408380524958</v>
      </c>
      <c r="G17" s="90">
        <f>G3*1.05</f>
        <v>0.9012616845828384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0.88500481619038529</v>
      </c>
      <c r="E19" s="90">
        <f>E5*1.05</f>
        <v>0.88595082356825461</v>
      </c>
      <c r="F19" s="90">
        <f>F5*1.05</f>
        <v>0.89877658217850642</v>
      </c>
      <c r="G19" s="90">
        <f>G5*1.05</f>
        <v>0.89998562025359996</v>
      </c>
    </row>
  </sheetData>
  <sheetProtection algorithmName="SHA-512" hashValue="wgY6UTNocZN/En+/mTGm+Mt7F0ebrnC2WIT8wPSuUh50JUhyoV+eJULO8APnaClSDPX7eLi5Smgtm6Uq9BCZ+w==" saltValue="1zSHPwJpODqxL8v1CPdtL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RDOUWKA2171FV3MjkT4WqKP55uTkOMCuAhDdsjR0O05rRon2eksqURHaukukpPH3onk76AxsMzZ9GD2ZO3uGVg==" saltValue="I9fgsYL7+FH6iIGMLuhr3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gNmgq5zyODDn0zmuYpSCUL6hYfGVwKvuikkpY0C3DU4uL8ksTF+jiBX8BZKgU1d7i1LyOw7F7PYplp2lKp71Q==" saltValue="dCNTVskarUC/Y8wgC7oOG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3.1882011547027188E-3</v>
      </c>
    </row>
    <row r="4" spans="1:8" ht="15.75" customHeight="1" x14ac:dyDescent="0.25">
      <c r="B4" s="19" t="s">
        <v>97</v>
      </c>
      <c r="C4" s="101">
        <v>0.10845454287368909</v>
      </c>
    </row>
    <row r="5" spans="1:8" ht="15.75" customHeight="1" x14ac:dyDescent="0.25">
      <c r="B5" s="19" t="s">
        <v>95</v>
      </c>
      <c r="C5" s="101">
        <v>5.3326856785208279E-2</v>
      </c>
    </row>
    <row r="6" spans="1:8" ht="15.75" customHeight="1" x14ac:dyDescent="0.25">
      <c r="B6" s="19" t="s">
        <v>91</v>
      </c>
      <c r="C6" s="101">
        <v>0.21397488944226251</v>
      </c>
    </row>
    <row r="7" spans="1:8" ht="15.75" customHeight="1" x14ac:dyDescent="0.25">
      <c r="B7" s="19" t="s">
        <v>96</v>
      </c>
      <c r="C7" s="101">
        <v>0.36897468154075391</v>
      </c>
    </row>
    <row r="8" spans="1:8" ht="15.75" customHeight="1" x14ac:dyDescent="0.25">
      <c r="B8" s="19" t="s">
        <v>98</v>
      </c>
      <c r="C8" s="101">
        <v>3.5334742592737292E-3</v>
      </c>
    </row>
    <row r="9" spans="1:8" ht="15.75" customHeight="1" x14ac:dyDescent="0.25">
      <c r="B9" s="19" t="s">
        <v>92</v>
      </c>
      <c r="C9" s="101">
        <v>0.16829639012017031</v>
      </c>
    </row>
    <row r="10" spans="1:8" ht="15.75" customHeight="1" x14ac:dyDescent="0.25">
      <c r="B10" s="19" t="s">
        <v>94</v>
      </c>
      <c r="C10" s="101">
        <v>8.0250963823939467E-2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0.14250445748556489</v>
      </c>
      <c r="D14" s="55">
        <v>0.14250445748556489</v>
      </c>
      <c r="E14" s="55">
        <v>0.14250445748556489</v>
      </c>
      <c r="F14" s="55">
        <v>0.14250445748556489</v>
      </c>
    </row>
    <row r="15" spans="1:8" ht="15.75" customHeight="1" x14ac:dyDescent="0.25">
      <c r="B15" s="19" t="s">
        <v>102</v>
      </c>
      <c r="C15" s="101">
        <v>0.2033086398196978</v>
      </c>
      <c r="D15" s="101">
        <v>0.2033086398196978</v>
      </c>
      <c r="E15" s="101">
        <v>0.2033086398196978</v>
      </c>
      <c r="F15" s="101">
        <v>0.2033086398196978</v>
      </c>
    </row>
    <row r="16" spans="1:8" ht="15.75" customHeight="1" x14ac:dyDescent="0.25">
      <c r="B16" s="19" t="s">
        <v>2</v>
      </c>
      <c r="C16" s="101">
        <v>1.0998560329977491E-2</v>
      </c>
      <c r="D16" s="101">
        <v>1.0998560329977491E-2</v>
      </c>
      <c r="E16" s="101">
        <v>1.0998560329977491E-2</v>
      </c>
      <c r="F16" s="101">
        <v>1.0998560329977491E-2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1.646141309712797E-2</v>
      </c>
      <c r="D19" s="101">
        <v>1.646141309712797E-2</v>
      </c>
      <c r="E19" s="101">
        <v>1.646141309712797E-2</v>
      </c>
      <c r="F19" s="101">
        <v>1.646141309712797E-2</v>
      </c>
    </row>
    <row r="20" spans="1:8" ht="15.75" customHeight="1" x14ac:dyDescent="0.25">
      <c r="B20" s="19" t="s">
        <v>79</v>
      </c>
      <c r="C20" s="101">
        <v>1.6537603078059339E-3</v>
      </c>
      <c r="D20" s="101">
        <v>1.6537603078059339E-3</v>
      </c>
      <c r="E20" s="101">
        <v>1.6537603078059339E-3</v>
      </c>
      <c r="F20" s="101">
        <v>1.6537603078059339E-3</v>
      </c>
    </row>
    <row r="21" spans="1:8" ht="15.75" customHeight="1" x14ac:dyDescent="0.25">
      <c r="B21" s="19" t="s">
        <v>88</v>
      </c>
      <c r="C21" s="101">
        <v>0.1494838800705556</v>
      </c>
      <c r="D21" s="101">
        <v>0.1494838800705556</v>
      </c>
      <c r="E21" s="101">
        <v>0.1494838800705556</v>
      </c>
      <c r="F21" s="101">
        <v>0.1494838800705556</v>
      </c>
    </row>
    <row r="22" spans="1:8" ht="15.75" customHeight="1" x14ac:dyDescent="0.25">
      <c r="B22" s="19" t="s">
        <v>99</v>
      </c>
      <c r="C22" s="101">
        <v>0.47558928888927038</v>
      </c>
      <c r="D22" s="101">
        <v>0.47558928888927038</v>
      </c>
      <c r="E22" s="101">
        <v>0.47558928888927038</v>
      </c>
      <c r="F22" s="101">
        <v>0.47558928888927038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3.2286483999999997E-2</v>
      </c>
    </row>
    <row r="27" spans="1:8" ht="15.75" customHeight="1" x14ac:dyDescent="0.25">
      <c r="B27" s="19" t="s">
        <v>89</v>
      </c>
      <c r="C27" s="101">
        <v>8.0926539000000006E-2</v>
      </c>
    </row>
    <row r="28" spans="1:8" ht="15.75" customHeight="1" x14ac:dyDescent="0.25">
      <c r="B28" s="19" t="s">
        <v>103</v>
      </c>
      <c r="C28" s="101">
        <v>0.11034517200000001</v>
      </c>
    </row>
    <row r="29" spans="1:8" ht="15.75" customHeight="1" x14ac:dyDescent="0.25">
      <c r="B29" s="19" t="s">
        <v>86</v>
      </c>
      <c r="C29" s="101">
        <v>8.99475E-2</v>
      </c>
    </row>
    <row r="30" spans="1:8" ht="15.75" customHeight="1" x14ac:dyDescent="0.25">
      <c r="B30" s="19" t="s">
        <v>4</v>
      </c>
      <c r="C30" s="101">
        <v>2.9600607000000001E-2</v>
      </c>
    </row>
    <row r="31" spans="1:8" ht="15.75" customHeight="1" x14ac:dyDescent="0.25">
      <c r="B31" s="19" t="s">
        <v>80</v>
      </c>
      <c r="C31" s="101">
        <v>3.5472995E-2</v>
      </c>
    </row>
    <row r="32" spans="1:8" ht="15.75" customHeight="1" x14ac:dyDescent="0.25">
      <c r="B32" s="19" t="s">
        <v>85</v>
      </c>
      <c r="C32" s="101">
        <v>0.250963082</v>
      </c>
    </row>
    <row r="33" spans="2:3" ht="15.75" customHeight="1" x14ac:dyDescent="0.25">
      <c r="B33" s="19" t="s">
        <v>100</v>
      </c>
      <c r="C33" s="101">
        <v>0.14174240299999999</v>
      </c>
    </row>
    <row r="34" spans="2:3" ht="15.75" customHeight="1" x14ac:dyDescent="0.25">
      <c r="B34" s="19" t="s">
        <v>87</v>
      </c>
      <c r="C34" s="101">
        <v>0.228715217</v>
      </c>
    </row>
    <row r="35" spans="2:3" ht="15.75" customHeight="1" x14ac:dyDescent="0.25">
      <c r="B35" s="27" t="s">
        <v>60</v>
      </c>
      <c r="C35" s="48">
        <f>SUM(C26:C34)</f>
        <v>0.99999999900000003</v>
      </c>
    </row>
  </sheetData>
  <sheetProtection algorithmName="SHA-512" hashValue="Fpjdo5sr2rNMZCl19JqLdDEGDvNDw06BMRUMm4mlL5DMdPyDSkev9JeTiiCE+9gJUZYd2ZOia8dEWMi1npaOqg==" saltValue="jKk7LZNSjQhi3aU381ZKn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0.50586891701344694</v>
      </c>
      <c r="D2" s="52">
        <f>IFERROR(1-_xlfn.NORM.DIST(_xlfn.NORM.INV(SUM(D4:D5), 0, 1) + 1, 0, 1, TRUE), "")</f>
        <v>0.50586891701344694</v>
      </c>
      <c r="E2" s="52">
        <f>IFERROR(1-_xlfn.NORM.DIST(_xlfn.NORM.INV(SUM(E4:E5), 0, 1) + 1, 0, 1, TRUE), "")</f>
        <v>0.542379968551153</v>
      </c>
      <c r="F2" s="52">
        <f>IFERROR(1-_xlfn.NORM.DIST(_xlfn.NORM.INV(SUM(F4:F5), 0, 1) + 1, 0, 1, TRUE), "")</f>
        <v>0.49358199122573021</v>
      </c>
      <c r="G2" s="52">
        <f>IFERROR(1-_xlfn.NORM.DIST(_xlfn.NORM.INV(SUM(G4:G5), 0, 1) + 1, 0, 1, TRUE), "")</f>
        <v>0.29457850360004501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0.33900945106621549</v>
      </c>
      <c r="D3" s="52">
        <f>IFERROR(_xlfn.NORM.DIST(_xlfn.NORM.INV(SUM(D4:D5), 0, 1) + 1, 0, 1, TRUE) - SUM(D4:D5), "")</f>
        <v>0.33900945106621549</v>
      </c>
      <c r="E3" s="52">
        <f>IFERROR(_xlfn.NORM.DIST(_xlfn.NORM.INV(SUM(E4:E5), 0, 1) + 1, 0, 1, TRUE) - SUM(E4:E5), "")</f>
        <v>0.32335011592770213</v>
      </c>
      <c r="F3" s="52">
        <f>IFERROR(_xlfn.NORM.DIST(_xlfn.NORM.INV(SUM(F4:F5), 0, 1) + 1, 0, 1, TRUE) - SUM(F4:F5), "")</f>
        <v>0.34383855429266807</v>
      </c>
      <c r="G3" s="52">
        <f>IFERROR(_xlfn.NORM.DIST(_xlfn.NORM.INV(SUM(G4:G5), 0, 1) + 1, 0, 1, TRUE) - SUM(G4:G5), "")</f>
        <v>0.382642556199149</v>
      </c>
    </row>
    <row r="4" spans="1:15" ht="15.75" customHeight="1" x14ac:dyDescent="0.25">
      <c r="B4" s="5" t="s">
        <v>110</v>
      </c>
      <c r="C4" s="45">
        <v>8.257152885198589E-2</v>
      </c>
      <c r="D4" s="53">
        <v>8.257152885198589E-2</v>
      </c>
      <c r="E4" s="53">
        <v>7.6196506619453402E-2</v>
      </c>
      <c r="F4" s="53">
        <v>9.4974882900714888E-2</v>
      </c>
      <c r="G4" s="53">
        <v>0.16951029002666501</v>
      </c>
    </row>
    <row r="5" spans="1:15" ht="15.75" customHeight="1" x14ac:dyDescent="0.25">
      <c r="B5" s="5" t="s">
        <v>106</v>
      </c>
      <c r="C5" s="45">
        <v>7.2550103068351704E-2</v>
      </c>
      <c r="D5" s="53">
        <v>7.2550103068351704E-2</v>
      </c>
      <c r="E5" s="53">
        <v>5.8073408901691402E-2</v>
      </c>
      <c r="F5" s="53">
        <v>6.7604571580886799E-2</v>
      </c>
      <c r="G5" s="53">
        <v>0.15326865017414101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0.46913014532718611</v>
      </c>
      <c r="D8" s="52">
        <f>IFERROR(1-_xlfn.NORM.DIST(_xlfn.NORM.INV(SUM(D10:D11), 0, 1) + 1, 0, 1, TRUE), "")</f>
        <v>0.46913014532718611</v>
      </c>
      <c r="E8" s="52">
        <f>IFERROR(1-_xlfn.NORM.DIST(_xlfn.NORM.INV(SUM(E10:E11), 0, 1) + 1, 0, 1, TRUE), "")</f>
        <v>0.51600545151880994</v>
      </c>
      <c r="F8" s="52">
        <f>IFERROR(1-_xlfn.NORM.DIST(_xlfn.NORM.INV(SUM(F10:F11), 0, 1) + 1, 0, 1, TRUE), "")</f>
        <v>0.72396020651220128</v>
      </c>
      <c r="G8" s="52">
        <f>IFERROR(1-_xlfn.NORM.DIST(_xlfn.NORM.INV(SUM(G10:G11), 0, 1) + 1, 0, 1, TRUE), "")</f>
        <v>0.78441006992048012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0.35274724481906905</v>
      </c>
      <c r="D9" s="52">
        <f>IFERROR(_xlfn.NORM.DIST(_xlfn.NORM.INV(SUM(D10:D11), 0, 1) + 1, 0, 1, TRUE) - SUM(D10:D11), "")</f>
        <v>0.35274724481906905</v>
      </c>
      <c r="E9" s="52">
        <f>IFERROR(_xlfn.NORM.DIST(_xlfn.NORM.INV(SUM(E10:E11), 0, 1) + 1, 0, 1, TRUE) - SUM(E10:E11), "")</f>
        <v>0.33485490762838116</v>
      </c>
      <c r="F9" s="52">
        <f>IFERROR(_xlfn.NORM.DIST(_xlfn.NORM.INV(SUM(F10:F11), 0, 1) + 1, 0, 1, TRUE) - SUM(F10:F11), "")</f>
        <v>0.22064417354406074</v>
      </c>
      <c r="G9" s="52">
        <f>IFERROR(_xlfn.NORM.DIST(_xlfn.NORM.INV(SUM(G10:G11), 0, 1) + 1, 0, 1, TRUE) - SUM(G10:G11), "")</f>
        <v>0.17863526638561497</v>
      </c>
    </row>
    <row r="10" spans="1:15" ht="15.75" customHeight="1" x14ac:dyDescent="0.25">
      <c r="B10" s="5" t="s">
        <v>107</v>
      </c>
      <c r="C10" s="45">
        <v>0.12681965529918701</v>
      </c>
      <c r="D10" s="53">
        <v>0.12681965529918701</v>
      </c>
      <c r="E10" s="53">
        <v>0.12084561586379999</v>
      </c>
      <c r="F10" s="53">
        <v>3.24748046696186E-2</v>
      </c>
      <c r="G10" s="53">
        <v>2.33650449663401E-2</v>
      </c>
    </row>
    <row r="11" spans="1:15" ht="15.75" customHeight="1" x14ac:dyDescent="0.25">
      <c r="B11" s="5" t="s">
        <v>119</v>
      </c>
      <c r="C11" s="45">
        <v>5.13029545545578E-2</v>
      </c>
      <c r="D11" s="53">
        <v>5.13029545545578E-2</v>
      </c>
      <c r="E11" s="53">
        <v>2.82940249890089E-2</v>
      </c>
      <c r="F11" s="53">
        <v>2.2920815274119401E-2</v>
      </c>
      <c r="G11" s="53">
        <v>1.35896187275648E-2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0.62129762875000005</v>
      </c>
      <c r="D14" s="54">
        <v>0.59335814614399995</v>
      </c>
      <c r="E14" s="54">
        <v>0.59335814614399995</v>
      </c>
      <c r="F14" s="54">
        <v>0.289678393378</v>
      </c>
      <c r="G14" s="54">
        <v>0.289678393378</v>
      </c>
      <c r="H14" s="45">
        <v>0.40100000000000002</v>
      </c>
      <c r="I14" s="55">
        <v>0.40100000000000002</v>
      </c>
      <c r="J14" s="55">
        <v>0.40100000000000002</v>
      </c>
      <c r="K14" s="55">
        <v>0.40100000000000002</v>
      </c>
      <c r="L14" s="45">
        <v>0.38400000000000001</v>
      </c>
      <c r="M14" s="55">
        <v>0.38400000000000001</v>
      </c>
      <c r="N14" s="55">
        <v>0.38400000000000001</v>
      </c>
      <c r="O14" s="55">
        <v>0.38400000000000001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0.35760648915592502</v>
      </c>
      <c r="D15" s="52">
        <f t="shared" si="0"/>
        <v>0.34152508175756346</v>
      </c>
      <c r="E15" s="52">
        <f t="shared" si="0"/>
        <v>0.34152508175756346</v>
      </c>
      <c r="F15" s="52">
        <f t="shared" si="0"/>
        <v>0.16673308966050923</v>
      </c>
      <c r="G15" s="52">
        <f t="shared" si="0"/>
        <v>0.16673308966050923</v>
      </c>
      <c r="H15" s="52">
        <f t="shared" si="0"/>
        <v>0.23080758000000001</v>
      </c>
      <c r="I15" s="52">
        <f t="shared" si="0"/>
        <v>0.23080758000000001</v>
      </c>
      <c r="J15" s="52">
        <f t="shared" si="0"/>
        <v>0.23080758000000001</v>
      </c>
      <c r="K15" s="52">
        <f t="shared" si="0"/>
        <v>0.23080758000000001</v>
      </c>
      <c r="L15" s="52">
        <f t="shared" si="0"/>
        <v>0.22102272000000001</v>
      </c>
      <c r="M15" s="52">
        <f t="shared" si="0"/>
        <v>0.22102272000000001</v>
      </c>
      <c r="N15" s="52">
        <f t="shared" si="0"/>
        <v>0.22102272000000001</v>
      </c>
      <c r="O15" s="52">
        <f t="shared" si="0"/>
        <v>0.22102272000000001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/K7LzQO3afMq4gxopyyn26TM6Kp7qjFW15oTBtyx8gCmfogRi8KvqcpOoL43kvYooiMZBU3jmfn9Eh5Udn+mWw==" saltValue="Ki2hzERKoxYb7jEt2+oX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0.22567516565322901</v>
      </c>
      <c r="D2" s="53">
        <v>8.5698490000000002E-2</v>
      </c>
      <c r="E2" s="53"/>
      <c r="F2" s="53"/>
      <c r="G2" s="53"/>
    </row>
    <row r="3" spans="1:7" x14ac:dyDescent="0.25">
      <c r="B3" s="3" t="s">
        <v>127</v>
      </c>
      <c r="C3" s="53">
        <v>0.39929413795471203</v>
      </c>
      <c r="D3" s="53">
        <v>0.36836629999999998</v>
      </c>
      <c r="E3" s="53"/>
      <c r="F3" s="53"/>
      <c r="G3" s="53"/>
    </row>
    <row r="4" spans="1:7" x14ac:dyDescent="0.25">
      <c r="B4" s="3" t="s">
        <v>126</v>
      </c>
      <c r="C4" s="53">
        <v>0.272236198186874</v>
      </c>
      <c r="D4" s="53">
        <v>0.3576281</v>
      </c>
      <c r="E4" s="53">
        <v>0.496575057506561</v>
      </c>
      <c r="F4" s="53">
        <v>0.26392653584480302</v>
      </c>
      <c r="G4" s="53"/>
    </row>
    <row r="5" spans="1:7" x14ac:dyDescent="0.25">
      <c r="B5" s="3" t="s">
        <v>125</v>
      </c>
      <c r="C5" s="52">
        <v>0.10279451310634601</v>
      </c>
      <c r="D5" s="52">
        <v>0.18830710649490401</v>
      </c>
      <c r="E5" s="52">
        <f>1-SUM(E2:E4)</f>
        <v>0.50342494249343894</v>
      </c>
      <c r="F5" s="52">
        <f>1-SUM(F2:F4)</f>
        <v>0.73607346415519692</v>
      </c>
      <c r="G5" s="52">
        <f>1-SUM(G2:G4)</f>
        <v>1</v>
      </c>
    </row>
  </sheetData>
  <sheetProtection algorithmName="SHA-512" hashValue="8/qdYs+6SQvi3m/zkvE0bXJ5xXiEwwknHsEWLHeyCgkXXdjuADmXKTIr0VEwIZXFFXIk8bQO1VQQajm1055+Jw==" saltValue="JZ858NgYXlS+y9HL7Aa7F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Vbe20IPN7qbOYo4/gz5fWBCFpwUV0/x5L1hWiXPMYkaQN+x5aPA7A/MWhPQ6LIswGMrxXPtL3lK0YHyNDXDGg==" saltValue="wowRZIYxb7reu6nMwEJ8t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XyWefRglp3T8IYO11rMgSuk+HfnTYWlZZXG6KaHY/gcZuymuH1syFDxDeqjZl5pExacJ5UZMFWe903kpPwACfQ==" saltValue="D2WB4d5b+bYpvGRYpVa2b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+Xl5m97DLWKEWCXULemq7M1/K/IcopuHpBVtjkpL75DMGLefhS2iOanxYNbrUZ6Fq85tdPK4jY9VD6rbMgK6gw==" saltValue="glLXGnXnF6kGap/JKnJbt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RWo1l5/Wgi6mmU10YIzhICPdsHF1sOgvPxAyoteCvOd2ev6igravi5V//JeanTh+G3Z8/PT3MZEFdwzXFb69gw==" saltValue="QUJu8nv3BKBCsPJCd1uJ5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2024-03-15T01:55:13Z</dcterms:modified>
</cp:coreProperties>
</file>