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7D0757E5-FF8A-4D1A-AE04-4F9AA741A40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0" i="26" s="1"/>
  <c r="F3" i="26"/>
  <c r="F10" i="26" s="1"/>
  <c r="E3" i="26"/>
  <c r="E10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A39" i="2"/>
  <c r="H38" i="2"/>
  <c r="I38" i="2" s="1"/>
  <c r="G38" i="2"/>
  <c r="A33" i="2"/>
  <c r="A32" i="2"/>
  <c r="A22" i="2"/>
  <c r="A21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13" i="2" l="1"/>
  <c r="A24" i="2"/>
  <c r="A34" i="2"/>
  <c r="A14" i="2"/>
  <c r="A25" i="2"/>
  <c r="A35" i="2"/>
  <c r="A26" i="2"/>
  <c r="A27" i="2"/>
  <c r="F12" i="26"/>
  <c r="I6" i="2"/>
  <c r="I10" i="2"/>
  <c r="A18" i="2"/>
  <c r="A29" i="2"/>
  <c r="A16" i="2"/>
  <c r="A37" i="2"/>
  <c r="A40" i="2"/>
  <c r="A17" i="2"/>
  <c r="A38" i="2"/>
  <c r="A3" i="2"/>
  <c r="A19" i="2"/>
  <c r="A30" i="2"/>
  <c r="E17" i="26"/>
  <c r="D10" i="26"/>
  <c r="G12" i="26"/>
  <c r="E19" i="26"/>
  <c r="A15" i="2"/>
  <c r="A23" i="2"/>
  <c r="A31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<sst xmlns="http://schemas.openxmlformats.org/spreadsheetml/2006/main" count="2092" uniqueCount="341">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</sst>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465315.07421875</v>
      </c>
    </row>
    <row r="8" spans="1:3" ht="15" customHeight="1" x14ac:dyDescent="0.25">
      <c r="B8" s="5" t="s">
        <v>44</v>
      </c>
      <c r="C8" s="44">
        <v>0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0.96395172119140593</v>
      </c>
    </row>
    <row r="11" spans="1:3" ht="15" customHeight="1" x14ac:dyDescent="0.25">
      <c r="B11" s="5" t="s">
        <v>49</v>
      </c>
      <c r="C11" s="45">
        <v>0.997</v>
      </c>
    </row>
    <row r="12" spans="1:3" ht="15" customHeight="1" x14ac:dyDescent="0.25">
      <c r="B12" s="5" t="s">
        <v>41</v>
      </c>
      <c r="C12" s="45">
        <v>0.93400000000000005</v>
      </c>
    </row>
    <row r="13" spans="1:3" ht="15" customHeight="1" x14ac:dyDescent="0.25">
      <c r="B13" s="5" t="s">
        <v>62</v>
      </c>
      <c r="C13" s="45">
        <v>0.25800000000000001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5.7299999999999997E-2</v>
      </c>
    </row>
    <row r="24" spans="1:3" ht="15" customHeight="1" x14ac:dyDescent="0.25">
      <c r="B24" s="15" t="s">
        <v>46</v>
      </c>
      <c r="C24" s="45">
        <v>0.57350000000000001</v>
      </c>
    </row>
    <row r="25" spans="1:3" ht="15" customHeight="1" x14ac:dyDescent="0.25">
      <c r="B25" s="15" t="s">
        <v>47</v>
      </c>
      <c r="C25" s="45">
        <v>0.35089999999999999</v>
      </c>
    </row>
    <row r="26" spans="1:3" ht="15" customHeight="1" x14ac:dyDescent="0.25">
      <c r="B26" s="15" t="s">
        <v>48</v>
      </c>
      <c r="C26" s="45">
        <v>1.83E-2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</v>
      </c>
    </row>
    <row r="30" spans="1:3" ht="14.25" customHeight="1" x14ac:dyDescent="0.25">
      <c r="B30" s="25" t="s">
        <v>63</v>
      </c>
      <c r="C30" s="99">
        <v>0</v>
      </c>
    </row>
    <row r="31" spans="1:3" ht="14.25" customHeight="1" x14ac:dyDescent="0.25">
      <c r="B31" s="25" t="s">
        <v>10</v>
      </c>
      <c r="C31" s="99">
        <v>0</v>
      </c>
    </row>
    <row r="32" spans="1:3" ht="14.25" customHeight="1" x14ac:dyDescent="0.25">
      <c r="B32" s="25" t="s">
        <v>11</v>
      </c>
      <c r="C32" s="99">
        <v>0</v>
      </c>
    </row>
    <row r="33" spans="1:5" ht="13" customHeight="1" x14ac:dyDescent="0.25">
      <c r="B33" s="27" t="s">
        <v>60</v>
      </c>
      <c r="C33" s="48">
        <f>SUM(C29:C32)</f>
        <v>0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1.2143297117327601</v>
      </c>
    </row>
    <row r="38" spans="1:5" ht="15" customHeight="1" x14ac:dyDescent="0.25">
      <c r="B38" s="11" t="s">
        <v>35</v>
      </c>
      <c r="C38" s="43">
        <v>2.42191846824932</v>
      </c>
      <c r="D38" s="12"/>
      <c r="E38" s="13"/>
    </row>
    <row r="39" spans="1:5" ht="15" customHeight="1" x14ac:dyDescent="0.25">
      <c r="B39" s="11" t="s">
        <v>61</v>
      </c>
      <c r="C39" s="43">
        <v>3.2302855332426699</v>
      </c>
      <c r="D39" s="12"/>
      <c r="E39" s="12"/>
    </row>
    <row r="40" spans="1:5" ht="15" customHeight="1" x14ac:dyDescent="0.25">
      <c r="B40" s="11" t="s">
        <v>36</v>
      </c>
      <c r="C40" s="100">
        <v>0.02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2.0198738170000001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6.1763999999999994E-3</v>
      </c>
      <c r="D45" s="12"/>
    </row>
    <row r="46" spans="1:5" ht="15.75" customHeight="1" x14ac:dyDescent="0.25">
      <c r="B46" s="11" t="s">
        <v>51</v>
      </c>
      <c r="C46" s="45">
        <v>6.7177100000000003E-2</v>
      </c>
      <c r="D46" s="12"/>
    </row>
    <row r="47" spans="1:5" ht="15.75" customHeight="1" x14ac:dyDescent="0.25">
      <c r="B47" s="11" t="s">
        <v>59</v>
      </c>
      <c r="C47" s="45">
        <v>3.2890299999999997E-2</v>
      </c>
      <c r="D47" s="12"/>
      <c r="E47" s="13"/>
    </row>
    <row r="48" spans="1:5" ht="15" customHeight="1" x14ac:dyDescent="0.25">
      <c r="B48" s="11" t="s">
        <v>58</v>
      </c>
      <c r="C48" s="46">
        <v>0.8937562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0.64647999999999994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5.0638231999999901E-2</v>
      </c>
    </row>
    <row r="63" spans="1:4" ht="15.75" customHeight="1" x14ac:dyDescent="0.3">
      <c r="A63" s="4"/>
    </row>
  </sheetData>
  <sheetProtection algorithmName="SHA-512" hashValue="JktlJG800Q1zzq+8xDkm0o3Mfte3eQiZCIjJ8j1/z0wiTIFsqSziMBTVhVlCDnSUYc5uH8F93S6Zpv4MuAsieQ==" saltValue="VtlNjk9uVZDCryZOLBSd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63.421848665062683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40.000995134003318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498.94277630498448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12.853065365559271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13.13329457779923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13.13329457779923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13.13329457779923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13.13329457779923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13.13329457779923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13.13329457779923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0.84006037769458042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11.47697383223603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11.47697383223603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0.55986999999999998</v>
      </c>
      <c r="C21" s="98">
        <v>0.95</v>
      </c>
      <c r="D21" s="56">
        <v>134.72675449417599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22.72737563050903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0.33461540220000002</v>
      </c>
      <c r="C23" s="98">
        <v>0.95</v>
      </c>
      <c r="D23" s="56">
        <v>4.355034620978258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18.696975825051741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0.45322509999999999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125.9554584200983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0.8476197124550896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1.8161937938239601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0.97790951975028406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2.018253434489619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49s9O/ufT0lFdgF1+jYzBsMSQkXt2tjwaRDzGAlLyvLS2VqtWM94UsqdV+awonC/E+6NkslGWAZp1piqlkO7Jw==" saltValue="20arYBmM7tU/UfHhxMb/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79OA1dv12th0HvYgndnDiqnLpZPa9FoLoapfoqnK5lWK/z4AQFIwd+ksHbwHq5i8UzFTHDkGN/V5SkWl5nPaTg==" saltValue="9bnptxjiIl53VGsnKxWaJ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IU2l6IvnhuKMUoL/pHFRp6j01+c8NakA8s5UGem9CbhoxCsSilHP8RR/tvo/I+cLijVF3/d+gcuNFK0nriNTaw==" saltValue="6R38/hR2Y3rB+KFD1bF2L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0.15675754845142367</v>
      </c>
      <c r="C3" s="21">
        <f>frac_mam_1_5months * 2.6</f>
        <v>0.15675754845142367</v>
      </c>
      <c r="D3" s="21">
        <f>frac_mam_6_11months * 2.6</f>
        <v>2.7388665452599621E-2</v>
      </c>
      <c r="E3" s="21">
        <f>frac_mam_12_23months * 2.6</f>
        <v>3.6561623681336517E-3</v>
      </c>
      <c r="F3" s="21">
        <f>frac_mam_24_59months * 2.6</f>
        <v>3.5138366185128701E-2</v>
      </c>
    </row>
    <row r="4" spans="1:6" ht="15.75" customHeight="1" x14ac:dyDescent="0.25">
      <c r="A4" s="3" t="s">
        <v>207</v>
      </c>
      <c r="B4" s="21">
        <f>frac_sam_1month * 2.6</f>
        <v>5.2326776832342221E-2</v>
      </c>
      <c r="C4" s="21">
        <f>frac_sam_1_5months * 2.6</f>
        <v>5.2326776832342221E-2</v>
      </c>
      <c r="D4" s="21">
        <f>frac_sam_6_11months * 2.6</f>
        <v>1.7485990934073922E-2</v>
      </c>
      <c r="E4" s="21">
        <f>frac_sam_12_23months * 2.6</f>
        <v>3.3277828944846982E-3</v>
      </c>
      <c r="F4" s="21">
        <f>frac_sam_24_59months * 2.6</f>
        <v>1.5166209079325199E-2</v>
      </c>
    </row>
  </sheetData>
  <sheetProtection algorithmName="SHA-512" hashValue="w8fWKB3ECC8/m5HZg2ZfHASO0UZ5I4oDcD9ziQyEQVoE9flbGE4fYcsbq7W9PFKucYHZB6dCwoYDbVqs7y9GBA==" saltValue="0jurlClF0mG2r06QmDHx2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0.93400000000000005</v>
      </c>
      <c r="E10" s="60">
        <f>IF(ISBLANK(comm_deliv), frac_children_health_facility,1)</f>
        <v>0.93400000000000005</v>
      </c>
      <c r="F10" s="60">
        <f>IF(ISBLANK(comm_deliv), frac_children_health_facility,1)</f>
        <v>0.93400000000000005</v>
      </c>
      <c r="G10" s="60">
        <f>IF(ISBLANK(comm_deliv), frac_children_health_facility,1)</f>
        <v>0.93400000000000005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0.997</v>
      </c>
      <c r="I18" s="60">
        <f>frac_PW_health_facility</f>
        <v>0.997</v>
      </c>
      <c r="J18" s="60">
        <f>frac_PW_health_facility</f>
        <v>0.997</v>
      </c>
      <c r="K18" s="60">
        <f>frac_PW_health_facility</f>
        <v>0.997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0.25800000000000001</v>
      </c>
      <c r="M24" s="60">
        <f>famplan_unmet_need</f>
        <v>0.25800000000000001</v>
      </c>
      <c r="N24" s="60">
        <f>famplan_unmet_need</f>
        <v>0.25800000000000001</v>
      </c>
      <c r="O24" s="60">
        <f>famplan_unmet_need</f>
        <v>0.25800000000000001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1.7663656616211092E-2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7.5701385498047544E-3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1.0814483642578221E-2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0.96395172119140593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prmLy8CbBATUq5Xwi/CzUC9v6HixOVcPLXZaMmXunQucvAjZWPOqAMn6eIK17LINPOTKlIqaMhS8lso0apsRZw==" saltValue="0O1FZsc0NVcXEXO9vo47h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UBMevObpGb5Rl+9wBCz6B1BwPXgyukFS+wwXKenSlwMHY8Ip9Ko9Q1ivkLUMRT8YAn/qU96eZA6D517JbG7xTQ==" saltValue="6IHaz1A9U3qkVdSBrBEb8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czDy5OTr3U6TG1iZdLzud2mL9NDoLKDW4qpwO5RxhClzfOTZJY28vGgkmVhMGkYNEEBQ60tS13HmKF10Qw9Ig==" saltValue="RNd3KCMb/YyQ3b7J2woZ2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lZ9tOmQlDMgTBpeaaiyppM0DCEJIvJ9bvTuPEuNn5+Fzo+8J9PSHe9SyXbbiWzWUJvbhvgiT51jmZgQhtLKgA==" saltValue="nj0+Et8ZvcxD6IcQ2Ye/9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1Qw4pbebhNDJaZue7sixLGwqh69hAGb2MBjshRluNXY87EI/5k9KQh+srkR6duOCFEZK8jEBkdquLt9ZafzxA==" saltValue="o3eB3Kgu4gZ567O6vmJkm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Hdj1zmoIxht+uhz+he6LUdCpRLFcacBFXLarjKGKirtFHJCiTA4wZKwWuXABC7I01w+XhEhGUq/8MPeD4Ettw==" saltValue="OrWQY+NyTu4fwTWYd3oRI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105592.045</v>
      </c>
      <c r="C2" s="49">
        <v>221000</v>
      </c>
      <c r="D2" s="49">
        <v>500000</v>
      </c>
      <c r="E2" s="49">
        <v>742000</v>
      </c>
      <c r="F2" s="49">
        <v>680000</v>
      </c>
      <c r="G2" s="17">
        <f t="shared" ref="G2:G11" si="0">C2+D2+E2+F2</f>
        <v>2143000</v>
      </c>
      <c r="H2" s="17">
        <f t="shared" ref="H2:H11" si="1">(B2 + stillbirth*B2/(1000-stillbirth))/(1-abortion)</f>
        <v>120233.81736689007</v>
      </c>
      <c r="I2" s="17">
        <f t="shared" ref="I2:I11" si="2">G2-H2</f>
        <v>2022766.1826331099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103537.764</v>
      </c>
      <c r="C3" s="50">
        <v>227000</v>
      </c>
      <c r="D3" s="50">
        <v>479000</v>
      </c>
      <c r="E3" s="50">
        <v>731000</v>
      </c>
      <c r="F3" s="50">
        <v>685000</v>
      </c>
      <c r="G3" s="17">
        <f t="shared" si="0"/>
        <v>2122000</v>
      </c>
      <c r="H3" s="17">
        <f t="shared" si="1"/>
        <v>117894.68238210713</v>
      </c>
      <c r="I3" s="17">
        <f t="shared" si="2"/>
        <v>2004105.3176178928</v>
      </c>
    </row>
    <row r="4" spans="1:9" ht="15.75" customHeight="1" x14ac:dyDescent="0.25">
      <c r="A4" s="5">
        <f t="shared" si="3"/>
        <v>2023</v>
      </c>
      <c r="B4" s="49">
        <v>101480.4528</v>
      </c>
      <c r="C4" s="50">
        <v>234000</v>
      </c>
      <c r="D4" s="50">
        <v>462000</v>
      </c>
      <c r="E4" s="50">
        <v>715000</v>
      </c>
      <c r="F4" s="50">
        <v>691000</v>
      </c>
      <c r="G4" s="17">
        <f t="shared" si="0"/>
        <v>2102000</v>
      </c>
      <c r="H4" s="17">
        <f t="shared" si="1"/>
        <v>115552.09701890429</v>
      </c>
      <c r="I4" s="17">
        <f t="shared" si="2"/>
        <v>1986447.9029810957</v>
      </c>
    </row>
    <row r="5" spans="1:9" ht="15.75" customHeight="1" x14ac:dyDescent="0.25">
      <c r="A5" s="5">
        <f t="shared" si="3"/>
        <v>2024</v>
      </c>
      <c r="B5" s="49">
        <v>99420.695200000016</v>
      </c>
      <c r="C5" s="50">
        <v>242000</v>
      </c>
      <c r="D5" s="50">
        <v>450000</v>
      </c>
      <c r="E5" s="50">
        <v>696000</v>
      </c>
      <c r="F5" s="50">
        <v>697000</v>
      </c>
      <c r="G5" s="17">
        <f t="shared" si="0"/>
        <v>2085000</v>
      </c>
      <c r="H5" s="17">
        <f t="shared" si="1"/>
        <v>113206.72602908719</v>
      </c>
      <c r="I5" s="17">
        <f t="shared" si="2"/>
        <v>1971793.2739709129</v>
      </c>
    </row>
    <row r="6" spans="1:9" ht="15.75" customHeight="1" x14ac:dyDescent="0.25">
      <c r="A6" s="5">
        <f t="shared" si="3"/>
        <v>2025</v>
      </c>
      <c r="B6" s="49">
        <v>97359.074999999997</v>
      </c>
      <c r="C6" s="50">
        <v>250000</v>
      </c>
      <c r="D6" s="50">
        <v>443000</v>
      </c>
      <c r="E6" s="50">
        <v>673000</v>
      </c>
      <c r="F6" s="50">
        <v>706000</v>
      </c>
      <c r="G6" s="17">
        <f t="shared" si="0"/>
        <v>2072000</v>
      </c>
      <c r="H6" s="17">
        <f t="shared" si="1"/>
        <v>110859.23416446146</v>
      </c>
      <c r="I6" s="17">
        <f t="shared" si="2"/>
        <v>1961140.7658355385</v>
      </c>
    </row>
    <row r="7" spans="1:9" ht="15.75" customHeight="1" x14ac:dyDescent="0.25">
      <c r="A7" s="5">
        <f t="shared" si="3"/>
        <v>2026</v>
      </c>
      <c r="B7" s="49">
        <v>95737.640000000014</v>
      </c>
      <c r="C7" s="50">
        <v>257000</v>
      </c>
      <c r="D7" s="50">
        <v>441000</v>
      </c>
      <c r="E7" s="50">
        <v>645000</v>
      </c>
      <c r="F7" s="50">
        <v>714000</v>
      </c>
      <c r="G7" s="17">
        <f t="shared" si="0"/>
        <v>2057000</v>
      </c>
      <c r="H7" s="17">
        <f t="shared" si="1"/>
        <v>109012.96516131562</v>
      </c>
      <c r="I7" s="17">
        <f t="shared" si="2"/>
        <v>1947987.0348386844</v>
      </c>
    </row>
    <row r="8" spans="1:9" ht="15.75" customHeight="1" x14ac:dyDescent="0.25">
      <c r="A8" s="5">
        <f t="shared" si="3"/>
        <v>2027</v>
      </c>
      <c r="B8" s="49">
        <v>94103.47500000002</v>
      </c>
      <c r="C8" s="50">
        <v>265000</v>
      </c>
      <c r="D8" s="50">
        <v>443000</v>
      </c>
      <c r="E8" s="50">
        <v>615000</v>
      </c>
      <c r="F8" s="50">
        <v>724000</v>
      </c>
      <c r="G8" s="17">
        <f t="shared" si="0"/>
        <v>2047000</v>
      </c>
      <c r="H8" s="17">
        <f t="shared" si="1"/>
        <v>107152.20097062907</v>
      </c>
      <c r="I8" s="17">
        <f t="shared" si="2"/>
        <v>1939847.799029371</v>
      </c>
    </row>
    <row r="9" spans="1:9" ht="15.75" customHeight="1" x14ac:dyDescent="0.25">
      <c r="A9" s="5">
        <f t="shared" si="3"/>
        <v>2028</v>
      </c>
      <c r="B9" s="49">
        <v>92457.450000000012</v>
      </c>
      <c r="C9" s="50">
        <v>272000</v>
      </c>
      <c r="D9" s="50">
        <v>449000</v>
      </c>
      <c r="E9" s="50">
        <v>582000</v>
      </c>
      <c r="F9" s="50">
        <v>732000</v>
      </c>
      <c r="G9" s="17">
        <f t="shared" si="0"/>
        <v>2035000</v>
      </c>
      <c r="H9" s="17">
        <f t="shared" si="1"/>
        <v>105277.93222972783</v>
      </c>
      <c r="I9" s="17">
        <f t="shared" si="2"/>
        <v>1929722.0677702723</v>
      </c>
    </row>
    <row r="10" spans="1:9" ht="15.75" customHeight="1" x14ac:dyDescent="0.25">
      <c r="A10" s="5">
        <f t="shared" si="3"/>
        <v>2029</v>
      </c>
      <c r="B10" s="49">
        <v>90800.435000000012</v>
      </c>
      <c r="C10" s="50">
        <v>277000</v>
      </c>
      <c r="D10" s="50">
        <v>458000</v>
      </c>
      <c r="E10" s="50">
        <v>551000</v>
      </c>
      <c r="F10" s="50">
        <v>737000</v>
      </c>
      <c r="G10" s="17">
        <f t="shared" si="0"/>
        <v>2023000</v>
      </c>
      <c r="H10" s="17">
        <f t="shared" si="1"/>
        <v>103391.14957593798</v>
      </c>
      <c r="I10" s="17">
        <f t="shared" si="2"/>
        <v>1919608.850424062</v>
      </c>
    </row>
    <row r="11" spans="1:9" ht="15.75" customHeight="1" x14ac:dyDescent="0.25">
      <c r="A11" s="5">
        <f t="shared" si="3"/>
        <v>2030</v>
      </c>
      <c r="B11" s="49">
        <v>89143</v>
      </c>
      <c r="C11" s="50">
        <v>280000</v>
      </c>
      <c r="D11" s="50">
        <v>468000</v>
      </c>
      <c r="E11" s="50">
        <v>524000</v>
      </c>
      <c r="F11" s="50">
        <v>736000</v>
      </c>
      <c r="G11" s="17">
        <f t="shared" si="0"/>
        <v>2008000</v>
      </c>
      <c r="H11" s="17">
        <f t="shared" si="1"/>
        <v>101503.88868343899</v>
      </c>
      <c r="I11" s="17">
        <f t="shared" si="2"/>
        <v>1906496.111316561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BvnDxD9n1l2Iw2LC8L7hRNKWGXoi/dayryM8FbxWrkxdp08zA9uH6gkSYLK8duiIHGozKyenEQqNxHnnO9ACw==" saltValue="hXsNmcExNnRh5OIxTOg93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1.8279620107812957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1.8279620107812957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1.6544345066487041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1.6544345066487041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1.5470463285519276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1.5470463285519276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1.4323942276071795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1.4323942276071795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2.1384477648242814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2.1384477648242814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1.8998474466419679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1.8998474466419679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Fj2KPOH0vtN35ktOUslmXuOTKVNGBkp+2DGaozR9+ktCv9tZ9JyXstwgdqmNyt1Sa4qDR0UKvuCsrF17ZqHZwQ==" saltValue="gIaIi1G+bqnpzks+yHyLh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Fe3T5H5qJScx8H44SUT0Ar1yynbBiVC8IiUjn9iHl8Ly2Yokm47AobvK4XfcjbW23Z2gXjLfbz8LrzgL6pyFkg==" saltValue="yd4gC50btuwakvmVefl6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QNkidxu/mOmM7N2PDKQMOYCdZ/cBhbeYchOFcpqvzsOinlgQ7Xw7LMXra8T7XVId3sxz0fbleAhTq4HtMpOyIA==" saltValue="+k8fhGeq47MaHYod8vfg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0.62539798114555978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0.62539798114555978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0.87320403848528594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0.87320403848528594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0.87320403848528594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0.87320403848528594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0.42457941359784762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0.42457941359784762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0.84181046004568683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0.84181046004568683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0.84181046004568683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0.84181046004568683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0.91525119625964602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0.91525119625964602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0.90471907275184371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0.90471907275184371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0.90471907275184371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0.90471907275184371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ii9A+gNy3f0uk1CRC/vNpBYlgP6s+tsrBsp59jOxeI0GG0/VZ4D8UXznFWKK7DwNWdsBTDbkHZtgVsaLSwznYg==" saltValue="rOQgLcNT/k6VMguvpTZ1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XmMRs1FoltqKypm0VHxjVQJr0M3cQYjD9dAqIBPJ3e9T2F1OS4aR7MGtPNLBY0sm9+h/PvYCgsmlALzyvATmrQ==" saltValue="wWQBQDLhXObAzQZ8Ff/T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0.6656510859177337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0.70055749828304614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0.70055749828304614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0.66121382247604299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0.66121382247604299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0.66121382247604299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0.66121382247604299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0.6655837951461876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0.6655837951461876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0.6655837951461876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0.6655837951461876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0.75591516221198252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0.78444946638475344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0.78444946638475344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0.75222993062438059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0.75222993062438059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0.75222993062438059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0.75222993062438059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0.75585937500000011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0.75585937500000011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0.75585937500000011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0.75585937500000011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0.47613354554669141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0.51645282466735554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0.51645282466735554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0.47117927022739303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0.47117927022739303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0.47117927022739303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0.47117927022739303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0.4760581347669598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0.4760581347669598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0.4760581347669598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0.4760581347669598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0.64369015684166686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0.67978638246682332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0.67978638246682332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0.63911945146156623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0.63911945146156623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0.63911945146156623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0.63911945146156623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0.6436208125445475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0.6436208125445475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0.6436208125445475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0.6436208125445475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0.96158805336813546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0.96712423198865127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0.96712423198865127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0.96084726518147301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0.96084726518147301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0.96084726518147301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0.96084726518147301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0.96157688465380775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0.96157688465380775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0.96157688465380775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0.96157688465380775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0.89902754930224105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0.91276234245932519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0.91276234245932519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0.89720923061109126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0.89720923061109126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0.89720923061109126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0.89720923061109126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0.89900010099989902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0.89900010099989902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0.89900010099989902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0.89900010099989902</v>
      </c>
    </row>
  </sheetData>
  <sheetProtection algorithmName="SHA-512" hashValue="SxC7mOse01DfWZaCeLbYGPtdos27Otyo29TxbRkyB4OT6FxUBgYGC7sZYgi3LG9sZAwUh9XeOWEit1yl0gcr6w==" saltValue="dgZLDderBS0CoJpbUB2j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0.85753418925023317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0.85918555349380965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0.85984572824238314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0.85929414693376638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0.85234394904496646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0.85872009906537994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0.85983048655762362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0.85835368878502682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0.77178077032520986</v>
      </c>
      <c r="E10" s="90">
        <f>E3*0.9</f>
        <v>0.77326699814442867</v>
      </c>
      <c r="F10" s="90">
        <f>F3*0.9</f>
        <v>0.77386115541814482</v>
      </c>
      <c r="G10" s="90">
        <f>G3*0.9</f>
        <v>0.77336473224038971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0.76710955414046988</v>
      </c>
      <c r="E12" s="90">
        <f>E5*0.9</f>
        <v>0.77284808915884196</v>
      </c>
      <c r="F12" s="90">
        <f>F5*0.9</f>
        <v>0.77384743790186128</v>
      </c>
      <c r="G12" s="90">
        <f>G5*0.9</f>
        <v>0.7725183199065242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0.90041089871274482</v>
      </c>
      <c r="E17" s="90">
        <f>E3*1.05</f>
        <v>0.90214483116850019</v>
      </c>
      <c r="F17" s="90">
        <f>F3*1.05</f>
        <v>0.90283801465450231</v>
      </c>
      <c r="G17" s="90">
        <f>G3*1.05</f>
        <v>0.90225885428045471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0.89496114649721481</v>
      </c>
      <c r="E19" s="90">
        <f>E5*1.05</f>
        <v>0.90165610401864893</v>
      </c>
      <c r="F19" s="90">
        <f>F5*1.05</f>
        <v>0.90282201088550484</v>
      </c>
      <c r="G19" s="90">
        <f>G5*1.05</f>
        <v>0.90127137322427819</v>
      </c>
    </row>
  </sheetData>
  <sheetProtection algorithmName="SHA-512" hashValue="sBwlD+zmZ6+ddYO0iCN02XsbmFcJLcTPU8x1QXSqusCWGDSzON3cuadJvmJKybtmaD+CdRD3SktICaF1IQsFWg==" saltValue="NgSyffUNZ3TpfwjXFsHjG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GYPbjkDWjVmyGhO2o/i/zffQHLS9mn58nlqjt4RAZyZe2Y0v1EHpaX2EUB+LDu4ZfR7CYDHI43YQM6Cq2Ti8tQ==" saltValue="Dxgkw84Hf+2Om7hrNqNd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76gzKKUTE14KOaT8Yw8dlVrmY+6NduTz05jkuur9Dz/95T0YauvMhAqkSjue/u6gVGcxhPZqOb7cyJ/Tu3egqA==" saltValue="t9ByAR2KSfT+D3Xyq25GP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4.6480212285335547E-2</v>
      </c>
    </row>
    <row r="5" spans="1:8" ht="15.75" customHeight="1" x14ac:dyDescent="0.25">
      <c r="B5" s="19" t="s">
        <v>95</v>
      </c>
      <c r="C5" s="101">
        <v>2.603111562933276E-2</v>
      </c>
    </row>
    <row r="6" spans="1:8" ht="15.75" customHeight="1" x14ac:dyDescent="0.25">
      <c r="B6" s="19" t="s">
        <v>91</v>
      </c>
      <c r="C6" s="101">
        <v>0.10710612744221421</v>
      </c>
    </row>
    <row r="7" spans="1:8" ht="15.75" customHeight="1" x14ac:dyDescent="0.25">
      <c r="B7" s="19" t="s">
        <v>96</v>
      </c>
      <c r="C7" s="101">
        <v>0.38308882548127599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0.32581766099571069</v>
      </c>
    </row>
    <row r="10" spans="1:8" ht="15.75" customHeight="1" x14ac:dyDescent="0.25">
      <c r="B10" s="19" t="s">
        <v>94</v>
      </c>
      <c r="C10" s="101">
        <v>0.1114760581661306</v>
      </c>
    </row>
    <row r="11" spans="1:8" ht="15.75" customHeight="1" x14ac:dyDescent="0.25">
      <c r="B11" s="27" t="s">
        <v>60</v>
      </c>
      <c r="C11" s="48">
        <f>SUM(C3:C10)</f>
        <v>0.99999999999999967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8.9240838441593442E-3</v>
      </c>
      <c r="D14" s="55">
        <v>8.9240838441593442E-3</v>
      </c>
      <c r="E14" s="55">
        <v>8.9240838441593442E-3</v>
      </c>
      <c r="F14" s="55">
        <v>8.9240838441593442E-3</v>
      </c>
    </row>
    <row r="15" spans="1:8" ht="15.75" customHeight="1" x14ac:dyDescent="0.25">
      <c r="B15" s="19" t="s">
        <v>102</v>
      </c>
      <c r="C15" s="101">
        <v>7.2668260903696699E-2</v>
      </c>
      <c r="D15" s="101">
        <v>7.2668260903696699E-2</v>
      </c>
      <c r="E15" s="101">
        <v>7.2668260903696699E-2</v>
      </c>
      <c r="F15" s="101">
        <v>7.2668260903696699E-2</v>
      </c>
    </row>
    <row r="16" spans="1:8" ht="15.75" customHeight="1" x14ac:dyDescent="0.25">
      <c r="B16" s="19" t="s">
        <v>2</v>
      </c>
      <c r="C16" s="101">
        <v>1.55347487829464E-2</v>
      </c>
      <c r="D16" s="101">
        <v>1.55347487829464E-2</v>
      </c>
      <c r="E16" s="101">
        <v>1.55347487829464E-2</v>
      </c>
      <c r="F16" s="101">
        <v>1.55347487829464E-2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1.897338612784254E-2</v>
      </c>
      <c r="D19" s="101">
        <v>1.897338612784254E-2</v>
      </c>
      <c r="E19" s="101">
        <v>1.897338612784254E-2</v>
      </c>
      <c r="F19" s="101">
        <v>1.897338612784254E-2</v>
      </c>
    </row>
    <row r="20" spans="1:8" ht="15.75" customHeight="1" x14ac:dyDescent="0.25">
      <c r="B20" s="19" t="s">
        <v>79</v>
      </c>
      <c r="C20" s="101">
        <v>0.13364410150771849</v>
      </c>
      <c r="D20" s="101">
        <v>0.13364410150771849</v>
      </c>
      <c r="E20" s="101">
        <v>0.13364410150771849</v>
      </c>
      <c r="F20" s="101">
        <v>0.13364410150771849</v>
      </c>
    </row>
    <row r="21" spans="1:8" ht="15.75" customHeight="1" x14ac:dyDescent="0.25">
      <c r="B21" s="19" t="s">
        <v>88</v>
      </c>
      <c r="C21" s="101">
        <v>0.11590461867235841</v>
      </c>
      <c r="D21" s="101">
        <v>0.11590461867235841</v>
      </c>
      <c r="E21" s="101">
        <v>0.11590461867235841</v>
      </c>
      <c r="F21" s="101">
        <v>0.11590461867235841</v>
      </c>
    </row>
    <row r="22" spans="1:8" ht="15.75" customHeight="1" x14ac:dyDescent="0.25">
      <c r="B22" s="19" t="s">
        <v>99</v>
      </c>
      <c r="C22" s="101">
        <v>0.63435080016127809</v>
      </c>
      <c r="D22" s="101">
        <v>0.63435080016127809</v>
      </c>
      <c r="E22" s="101">
        <v>0.63435080016127809</v>
      </c>
      <c r="F22" s="101">
        <v>0.63435080016127809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5.5138011000000001E-2</v>
      </c>
    </row>
    <row r="27" spans="1:8" ht="15.75" customHeight="1" x14ac:dyDescent="0.25">
      <c r="B27" s="19" t="s">
        <v>89</v>
      </c>
      <c r="C27" s="101">
        <v>5.8021491999999987E-2</v>
      </c>
    </row>
    <row r="28" spans="1:8" ht="15.75" customHeight="1" x14ac:dyDescent="0.25">
      <c r="B28" s="19" t="s">
        <v>103</v>
      </c>
      <c r="C28" s="101">
        <v>0.12039119400000001</v>
      </c>
    </row>
    <row r="29" spans="1:8" ht="15.75" customHeight="1" x14ac:dyDescent="0.25">
      <c r="B29" s="19" t="s">
        <v>86</v>
      </c>
      <c r="C29" s="101">
        <v>0.13459314</v>
      </c>
    </row>
    <row r="30" spans="1:8" ht="15.75" customHeight="1" x14ac:dyDescent="0.25">
      <c r="B30" s="19" t="s">
        <v>4</v>
      </c>
      <c r="C30" s="101">
        <v>8.1866218000000004E-2</v>
      </c>
    </row>
    <row r="31" spans="1:8" ht="15.75" customHeight="1" x14ac:dyDescent="0.25">
      <c r="B31" s="19" t="s">
        <v>80</v>
      </c>
      <c r="C31" s="101">
        <v>6.5181787000000005E-2</v>
      </c>
    </row>
    <row r="32" spans="1:8" ht="15.75" customHeight="1" x14ac:dyDescent="0.25">
      <c r="B32" s="19" t="s">
        <v>85</v>
      </c>
      <c r="C32" s="101">
        <v>0.13227402499999999</v>
      </c>
    </row>
    <row r="33" spans="2:3" ht="15.75" customHeight="1" x14ac:dyDescent="0.25">
      <c r="B33" s="19" t="s">
        <v>100</v>
      </c>
      <c r="C33" s="101">
        <v>0.124908043</v>
      </c>
    </row>
    <row r="34" spans="2:3" ht="15.75" customHeight="1" x14ac:dyDescent="0.25">
      <c r="B34" s="19" t="s">
        <v>87</v>
      </c>
      <c r="C34" s="101">
        <v>0.22762609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+aAjLAzpbMTZwVGWnyRMpCbCeH3d/KWgSO6U366ylHd87vCpztc7YwGTNRaMeZz/G1hfSasLm9yMKZyAFjpjzA==" saltValue="ICZ4IomIsnLsJqqLR81PI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0.63739771560093594</v>
      </c>
      <c r="D2" s="52">
        <f>IFERROR(1-_xlfn.NORM.DIST(_xlfn.NORM.INV(SUM(D4:D5), 0, 1) + 1, 0, 1, TRUE), "")</f>
        <v>0.63739771560093594</v>
      </c>
      <c r="E2" s="52">
        <f>IFERROR(1-_xlfn.NORM.DIST(_xlfn.NORM.INV(SUM(E4:E5), 0, 1) + 1, 0, 1, TRUE), "")</f>
        <v>0.70788254877315571</v>
      </c>
      <c r="F2" s="52">
        <f>IFERROR(1-_xlfn.NORM.DIST(_xlfn.NORM.INV(SUM(F4:F5), 0, 1) + 1, 0, 1, TRUE), "")</f>
        <v>0.77522167912424411</v>
      </c>
      <c r="G2" s="52">
        <f>IFERROR(1-_xlfn.NORM.DIST(_xlfn.NORM.INV(SUM(G4:G5), 0, 1) + 1, 0, 1, TRUE), "")</f>
        <v>0.78753164793855035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0.27433648168781566</v>
      </c>
      <c r="D3" s="52">
        <f>IFERROR(_xlfn.NORM.DIST(_xlfn.NORM.INV(SUM(D4:D5), 0, 1) + 1, 0, 1, TRUE) - SUM(D4:D5), "")</f>
        <v>0.27433648168781566</v>
      </c>
      <c r="E3" s="52">
        <f>IFERROR(_xlfn.NORM.DIST(_xlfn.NORM.INV(SUM(E4:E5), 0, 1) + 1, 0, 1, TRUE) - SUM(E4:E5), "")</f>
        <v>0.23121106708659114</v>
      </c>
      <c r="F3" s="52">
        <f>IFERROR(_xlfn.NORM.DIST(_xlfn.NORM.INV(SUM(F4:F5), 0, 1) + 1, 0, 1, TRUE) - SUM(F4:F5), "")</f>
        <v>0.18524729484020858</v>
      </c>
      <c r="G3" s="52">
        <f>IFERROR(_xlfn.NORM.DIST(_xlfn.NORM.INV(SUM(G4:G5), 0, 1) + 1, 0, 1, TRUE) - SUM(G4:G5), "")</f>
        <v>0.17637080688470522</v>
      </c>
    </row>
    <row r="4" spans="1:15" ht="15.75" customHeight="1" x14ac:dyDescent="0.25">
      <c r="B4" s="5" t="s">
        <v>110</v>
      </c>
      <c r="C4" s="45">
        <v>7.9701721668243394E-2</v>
      </c>
      <c r="D4" s="53">
        <v>7.9701721668243394E-2</v>
      </c>
      <c r="E4" s="53">
        <v>2.3631364107132E-2</v>
      </c>
      <c r="F4" s="53">
        <v>2.18412522226572E-2</v>
      </c>
      <c r="G4" s="53">
        <v>2.8631579130887999E-2</v>
      </c>
    </row>
    <row r="5" spans="1:15" ht="15.75" customHeight="1" x14ac:dyDescent="0.25">
      <c r="B5" s="5" t="s">
        <v>106</v>
      </c>
      <c r="C5" s="45">
        <v>8.5640810430049896E-3</v>
      </c>
      <c r="D5" s="53">
        <v>8.5640810430049896E-3</v>
      </c>
      <c r="E5" s="53">
        <v>3.7275020033121102E-2</v>
      </c>
      <c r="F5" s="53">
        <v>1.7689773812890101E-2</v>
      </c>
      <c r="G5" s="53">
        <v>7.4659660458564802E-3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0.65625799904397775</v>
      </c>
      <c r="D8" s="52">
        <f>IFERROR(1-_xlfn.NORM.DIST(_xlfn.NORM.INV(SUM(D10:D11), 0, 1) + 1, 0, 1, TRUE), "")</f>
        <v>0.65625799904397775</v>
      </c>
      <c r="E8" s="52">
        <f>IFERROR(1-_xlfn.NORM.DIST(_xlfn.NORM.INV(SUM(E10:E11), 0, 1) + 1, 0, 1, TRUE), "")</f>
        <v>0.86735111675932408</v>
      </c>
      <c r="F8" s="52">
        <f>IFERROR(1-_xlfn.NORM.DIST(_xlfn.NORM.INV(SUM(F10:F11), 0, 1) + 1, 0, 1, TRUE), "")</f>
        <v>0.96277363059099486</v>
      </c>
      <c r="G8" s="52">
        <f>IFERROR(1-_xlfn.NORM.DIST(_xlfn.NORM.INV(SUM(G10:G11), 0, 1) + 1, 0, 1, TRUE), "")</f>
        <v>0.85710593658923317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0.26332495276995849</v>
      </c>
      <c r="D9" s="52">
        <f>IFERROR(_xlfn.NORM.DIST(_xlfn.NORM.INV(SUM(D10:D11), 0, 1) + 1, 0, 1, TRUE) - SUM(D10:D11), "")</f>
        <v>0.26332495276995849</v>
      </c>
      <c r="E9" s="52">
        <f>IFERROR(_xlfn.NORM.DIST(_xlfn.NORM.INV(SUM(E10:E11), 0, 1) + 1, 0, 1, TRUE) - SUM(E10:E11), "")</f>
        <v>0.11538940001503223</v>
      </c>
      <c r="F9" s="52">
        <f>IFERROR(_xlfn.NORM.DIST(_xlfn.NORM.INV(SUM(F10:F11), 0, 1) + 1, 0, 1, TRUE) - SUM(F10:F11), "")</f>
        <v>3.4540236615690348E-2</v>
      </c>
      <c r="G9" s="52">
        <f>IFERROR(_xlfn.NORM.DIST(_xlfn.NORM.INV(SUM(G10:G11), 0, 1) + 1, 0, 1, TRUE) - SUM(G10:G11), "")</f>
        <v>0.12354614984751533</v>
      </c>
    </row>
    <row r="10" spans="1:15" ht="15.75" customHeight="1" x14ac:dyDescent="0.25">
      <c r="B10" s="5" t="s">
        <v>107</v>
      </c>
      <c r="C10" s="45">
        <v>6.0291364789009101E-2</v>
      </c>
      <c r="D10" s="53">
        <v>6.0291364789009101E-2</v>
      </c>
      <c r="E10" s="53">
        <v>1.05341020971537E-2</v>
      </c>
      <c r="F10" s="53">
        <v>1.4062162954360199E-3</v>
      </c>
      <c r="G10" s="53">
        <v>1.3514756225049499E-2</v>
      </c>
    </row>
    <row r="11" spans="1:15" ht="15.75" customHeight="1" x14ac:dyDescent="0.25">
      <c r="B11" s="5" t="s">
        <v>119</v>
      </c>
      <c r="C11" s="45">
        <v>2.01256833970547E-2</v>
      </c>
      <c r="D11" s="53">
        <v>2.01256833970547E-2</v>
      </c>
      <c r="E11" s="53">
        <v>6.7253811284899703E-3</v>
      </c>
      <c r="F11" s="53">
        <v>1.2799164978787301E-3</v>
      </c>
      <c r="G11" s="53">
        <v>5.8331573382019997E-3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0.24705571949999999</v>
      </c>
      <c r="D14" s="54">
        <v>0.22576595799400001</v>
      </c>
      <c r="E14" s="54">
        <v>0.22576595799400001</v>
      </c>
      <c r="F14" s="54">
        <v>9.01791644541E-2</v>
      </c>
      <c r="G14" s="54">
        <v>9.01791644541E-2</v>
      </c>
      <c r="H14" s="45">
        <v>0.24099999999999999</v>
      </c>
      <c r="I14" s="55">
        <v>0.24099999999999999</v>
      </c>
      <c r="J14" s="55">
        <v>0.24099999999999999</v>
      </c>
      <c r="K14" s="55">
        <v>0.24099999999999999</v>
      </c>
      <c r="L14" s="45">
        <v>0.22600000000000001</v>
      </c>
      <c r="M14" s="55">
        <v>0.22600000000000001</v>
      </c>
      <c r="N14" s="55">
        <v>0.22600000000000001</v>
      </c>
      <c r="O14" s="55">
        <v>0.22600000000000001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0.15971658154235999</v>
      </c>
      <c r="D15" s="52">
        <f t="shared" si="0"/>
        <v>0.14595317652396111</v>
      </c>
      <c r="E15" s="52">
        <f t="shared" si="0"/>
        <v>0.14595317652396111</v>
      </c>
      <c r="F15" s="52">
        <f t="shared" si="0"/>
        <v>5.8299026236286564E-2</v>
      </c>
      <c r="G15" s="52">
        <f t="shared" si="0"/>
        <v>5.8299026236286564E-2</v>
      </c>
      <c r="H15" s="52">
        <f t="shared" si="0"/>
        <v>0.15580167999999997</v>
      </c>
      <c r="I15" s="52">
        <f t="shared" si="0"/>
        <v>0.15580167999999997</v>
      </c>
      <c r="J15" s="52">
        <f t="shared" si="0"/>
        <v>0.15580167999999997</v>
      </c>
      <c r="K15" s="52">
        <f t="shared" si="0"/>
        <v>0.15580167999999997</v>
      </c>
      <c r="L15" s="52">
        <f t="shared" si="0"/>
        <v>0.14610447999999998</v>
      </c>
      <c r="M15" s="52">
        <f t="shared" si="0"/>
        <v>0.14610447999999998</v>
      </c>
      <c r="N15" s="52">
        <f t="shared" si="0"/>
        <v>0.14610447999999998</v>
      </c>
      <c r="O15" s="52">
        <f t="shared" si="0"/>
        <v>0.14610447999999998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VKofboZ/h4f03HyEvJwjCUgzPXiaZTm8vIr9wvXiQwXhudOa1Ri0rAmZCNsHaee+kZSTkrn5mMDzNNCGpjWc+w==" saltValue="a7OtuBMzYmAiBXPRbxVQ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0.32364046573638899</v>
      </c>
      <c r="D2" s="53">
        <v>0.14429939999999999</v>
      </c>
      <c r="E2" s="53"/>
      <c r="F2" s="53"/>
      <c r="G2" s="53"/>
    </row>
    <row r="3" spans="1:7" x14ac:dyDescent="0.25">
      <c r="B3" s="3" t="s">
        <v>127</v>
      </c>
      <c r="C3" s="53">
        <v>0.25219285488128701</v>
      </c>
      <c r="D3" s="53">
        <v>0.2360535</v>
      </c>
      <c r="E3" s="53"/>
      <c r="F3" s="53"/>
      <c r="G3" s="53"/>
    </row>
    <row r="4" spans="1:7" x14ac:dyDescent="0.25">
      <c r="B4" s="3" t="s">
        <v>126</v>
      </c>
      <c r="C4" s="53">
        <v>0.242077842354775</v>
      </c>
      <c r="D4" s="53">
        <v>0.26666339999999999</v>
      </c>
      <c r="E4" s="53">
        <v>0.41328838467597989</v>
      </c>
      <c r="F4" s="53">
        <v>0.17384156584739699</v>
      </c>
      <c r="G4" s="53"/>
    </row>
    <row r="5" spans="1:7" x14ac:dyDescent="0.25">
      <c r="B5" s="3" t="s">
        <v>125</v>
      </c>
      <c r="C5" s="52">
        <v>0.18208883702754999</v>
      </c>
      <c r="D5" s="52">
        <v>0.35298365354538003</v>
      </c>
      <c r="E5" s="52">
        <f>1-SUM(E2:E4)</f>
        <v>0.58671161532402016</v>
      </c>
      <c r="F5" s="52">
        <f>1-SUM(F2:F4)</f>
        <v>0.82615843415260304</v>
      </c>
      <c r="G5" s="52">
        <f>1-SUM(G2:G4)</f>
        <v>1</v>
      </c>
    </row>
  </sheetData>
  <sheetProtection algorithmName="SHA-512" hashValue="vKWyo992dcF/jajmPod+QcRI1zk5ro8AcIXK3zaz6gvKzptONDEv3yEzCTBYTWdiyE7GywJti6HTExjC48VR4A==" saltValue="kRixPHwEtksAm6w2neKOM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S9cXykYnw8w3zdlkccR+vGayRIN1+D4hdVlLbB3xkC+bnFKl403iS+Id+Sg4zlthNqzwgeZM7WJ/LZU/J9g4w==" saltValue="py1Bf+TFSa0y2xY3zrSsR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TDgCmjK86vEGXkWOIDTxcjCNMT9hlLQIQQgwTFgtubWuQBMo+ydc6dETrxCZ5vlZ2LCRv8uPEeB5Wl/ws3KbiQ==" saltValue="fqLOKotDgmt0gN46uL2IF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jnBYRlvTU7Voi7sM+454SSjRl5J7QvmPII7u3As4kmSxOBnlMC+18oSjur0CPTj28+0C3jQcLb5Wq46kIcfpKQ==" saltValue="3cXUcU6bNj2Nq9G4uVnFE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wpNUDqp/1IBKxXMhkykRJF7k8qHV6fW+qnTvFo8l9UXDhfbeOHhUQK8kiJdZ7qafrSzN7fCB6UWOpuYMwESZwQ==" saltValue="juhkG6+oQsTQLxYFyTHjF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2024-03-15T01:57:40Z</dcterms:modified>
</cp:coreProperties>
</file>