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45BCEDC5-A9CD-4534-835B-01173B2FDEF4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D19" i="26"/>
  <c r="C19" i="26"/>
  <c r="E17" i="26"/>
  <c r="C17" i="26"/>
  <c r="F12" i="26"/>
  <c r="C12" i="26"/>
  <c r="C10" i="26"/>
  <c r="G5" i="26"/>
  <c r="G19" i="26" s="1"/>
  <c r="F5" i="26"/>
  <c r="F19" i="26" s="1"/>
  <c r="E5" i="26"/>
  <c r="E12" i="26" s="1"/>
  <c r="D5" i="26"/>
  <c r="D12" i="26" s="1"/>
  <c r="G3" i="26"/>
  <c r="G10" i="26" s="1"/>
  <c r="F3" i="26"/>
  <c r="F17" i="26" s="1"/>
  <c r="E3" i="26"/>
  <c r="E10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A37" i="2"/>
  <c r="A35" i="2"/>
  <c r="A27" i="2"/>
  <c r="A17" i="2"/>
  <c r="A13" i="2"/>
  <c r="H11" i="2"/>
  <c r="G11" i="2"/>
  <c r="I11" i="2" s="1"/>
  <c r="H10" i="2"/>
  <c r="G10" i="2"/>
  <c r="H9" i="2"/>
  <c r="G9" i="2"/>
  <c r="H8" i="2"/>
  <c r="G8" i="2"/>
  <c r="I8" i="2" s="1"/>
  <c r="H7" i="2"/>
  <c r="G7" i="2"/>
  <c r="I7" i="2" s="1"/>
  <c r="H6" i="2"/>
  <c r="G6" i="2"/>
  <c r="H5" i="2"/>
  <c r="G5" i="2"/>
  <c r="H4" i="2"/>
  <c r="G4" i="2"/>
  <c r="I4" i="2" s="1"/>
  <c r="H3" i="2"/>
  <c r="G3" i="2"/>
  <c r="I3" i="2" s="1"/>
  <c r="H2" i="2"/>
  <c r="G2" i="2"/>
  <c r="A2" i="2"/>
  <c r="A36" i="2" s="1"/>
  <c r="C33" i="1"/>
  <c r="C20" i="1"/>
  <c r="A21" i="2" l="1"/>
  <c r="I2" i="2"/>
  <c r="I6" i="2"/>
  <c r="I10" i="2"/>
  <c r="A25" i="2"/>
  <c r="G17" i="26"/>
  <c r="A29" i="2"/>
  <c r="A33" i="2"/>
  <c r="I5" i="2"/>
  <c r="I9" i="2"/>
  <c r="A19" i="2"/>
  <c r="A14" i="2"/>
  <c r="A22" i="2"/>
  <c r="A30" i="2"/>
  <c r="A38" i="2"/>
  <c r="A40" i="2"/>
  <c r="D10" i="26"/>
  <c r="G12" i="26"/>
  <c r="E19" i="26"/>
  <c r="A15" i="2"/>
  <c r="A23" i="2"/>
  <c r="A31" i="2"/>
  <c r="A3" i="2"/>
  <c r="A16" i="2"/>
  <c r="A24" i="2"/>
  <c r="A32" i="2"/>
  <c r="F10" i="26"/>
  <c r="A18" i="2"/>
  <c r="A26" i="2"/>
  <c r="A34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<sst xmlns="http://schemas.openxmlformats.org/spreadsheetml/2006/main" count="2092" uniqueCount="341">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</sst>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323342.7265625</v>
      </c>
    </row>
    <row r="8" spans="1:3" ht="15" customHeight="1" x14ac:dyDescent="0.25">
      <c r="B8" s="5" t="s">
        <v>44</v>
      </c>
      <c r="C8" s="44">
        <v>1.4E-2</v>
      </c>
    </row>
    <row r="9" spans="1:3" ht="15" customHeight="1" x14ac:dyDescent="0.25">
      <c r="B9" s="5" t="s">
        <v>43</v>
      </c>
      <c r="C9" s="45">
        <v>0.01</v>
      </c>
    </row>
    <row r="10" spans="1:3" ht="15" customHeight="1" x14ac:dyDescent="0.25">
      <c r="B10" s="5" t="s">
        <v>56</v>
      </c>
      <c r="C10" s="45">
        <v>0.33406288146972701</v>
      </c>
    </row>
    <row r="11" spans="1:3" ht="15" customHeight="1" x14ac:dyDescent="0.25">
      <c r="B11" s="5" t="s">
        <v>49</v>
      </c>
      <c r="C11" s="45">
        <v>0.442</v>
      </c>
    </row>
    <row r="12" spans="1:3" ht="15" customHeight="1" x14ac:dyDescent="0.25">
      <c r="B12" s="5" t="s">
        <v>41</v>
      </c>
      <c r="C12" s="45">
        <v>0.44</v>
      </c>
    </row>
    <row r="13" spans="1:3" ht="15" customHeight="1" x14ac:dyDescent="0.25">
      <c r="B13" s="5" t="s">
        <v>62</v>
      </c>
      <c r="C13" s="45">
        <v>0.68900000000000006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0.13689999999999999</v>
      </c>
    </row>
    <row r="24" spans="1:3" ht="15" customHeight="1" x14ac:dyDescent="0.25">
      <c r="B24" s="15" t="s">
        <v>46</v>
      </c>
      <c r="C24" s="45">
        <v>0.45260000000000011</v>
      </c>
    </row>
    <row r="25" spans="1:3" ht="15" customHeight="1" x14ac:dyDescent="0.25">
      <c r="B25" s="15" t="s">
        <v>47</v>
      </c>
      <c r="C25" s="45">
        <v>0.30809999999999998</v>
      </c>
    </row>
    <row r="26" spans="1:3" ht="15" customHeight="1" x14ac:dyDescent="0.25">
      <c r="B26" s="15" t="s">
        <v>48</v>
      </c>
      <c r="C26" s="45">
        <v>0.1024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0.35675533525383901</v>
      </c>
    </row>
    <row r="30" spans="1:3" ht="14.25" customHeight="1" x14ac:dyDescent="0.25">
      <c r="B30" s="25" t="s">
        <v>63</v>
      </c>
      <c r="C30" s="99">
        <v>6.5910586704521698E-2</v>
      </c>
    </row>
    <row r="31" spans="1:3" ht="14.25" customHeight="1" x14ac:dyDescent="0.25">
      <c r="B31" s="25" t="s">
        <v>10</v>
      </c>
      <c r="C31" s="99">
        <v>9.262041217609189E-2</v>
      </c>
    </row>
    <row r="32" spans="1:3" ht="14.25" customHeight="1" x14ac:dyDescent="0.25">
      <c r="B32" s="25" t="s">
        <v>11</v>
      </c>
      <c r="C32" s="99">
        <v>0.48471366586554798</v>
      </c>
    </row>
    <row r="33" spans="1:5" ht="13" customHeight="1" x14ac:dyDescent="0.25">
      <c r="B33" s="27" t="s">
        <v>60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6.1573833137445604</v>
      </c>
    </row>
    <row r="38" spans="1:5" ht="15" customHeight="1" x14ac:dyDescent="0.25">
      <c r="B38" s="11" t="s">
        <v>35</v>
      </c>
      <c r="C38" s="43">
        <v>7.5435707882581999</v>
      </c>
      <c r="D38" s="12"/>
      <c r="E38" s="13"/>
    </row>
    <row r="39" spans="1:5" ht="15" customHeight="1" x14ac:dyDescent="0.25">
      <c r="B39" s="11" t="s">
        <v>61</v>
      </c>
      <c r="C39" s="43">
        <v>8.6192212346124695</v>
      </c>
      <c r="D39" s="12"/>
      <c r="E39" s="12"/>
    </row>
    <row r="40" spans="1:5" ht="15" customHeight="1" x14ac:dyDescent="0.25">
      <c r="B40" s="11" t="s">
        <v>36</v>
      </c>
      <c r="C40" s="100">
        <v>0.27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4.4836800459999999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7.6683000000000003E-3</v>
      </c>
      <c r="D45" s="12"/>
    </row>
    <row r="46" spans="1:5" ht="15.75" customHeight="1" x14ac:dyDescent="0.25">
      <c r="B46" s="11" t="s">
        <v>51</v>
      </c>
      <c r="C46" s="45">
        <v>7.7032299999999998E-2</v>
      </c>
      <c r="D46" s="12"/>
    </row>
    <row r="47" spans="1:5" ht="15.75" customHeight="1" x14ac:dyDescent="0.25">
      <c r="B47" s="11" t="s">
        <v>59</v>
      </c>
      <c r="C47" s="45">
        <v>5.80098E-2</v>
      </c>
      <c r="D47" s="12"/>
      <c r="E47" s="13"/>
    </row>
    <row r="48" spans="1:5" ht="15" customHeight="1" x14ac:dyDescent="0.25">
      <c r="B48" s="11" t="s">
        <v>58</v>
      </c>
      <c r="C48" s="46">
        <v>0.85728959999999998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3.2</v>
      </c>
      <c r="D51" s="12"/>
    </row>
    <row r="52" spans="1:4" ht="15" customHeight="1" x14ac:dyDescent="0.25">
      <c r="B52" s="11" t="s">
        <v>13</v>
      </c>
      <c r="C52" s="100">
        <v>3.2</v>
      </c>
    </row>
    <row r="53" spans="1:4" ht="15.75" customHeight="1" x14ac:dyDescent="0.25">
      <c r="B53" s="11" t="s">
        <v>16</v>
      </c>
      <c r="C53" s="100">
        <v>3.2</v>
      </c>
    </row>
    <row r="54" spans="1:4" ht="15.75" customHeight="1" x14ac:dyDescent="0.25">
      <c r="B54" s="11" t="s">
        <v>14</v>
      </c>
      <c r="C54" s="100">
        <v>3.2</v>
      </c>
    </row>
    <row r="55" spans="1:4" ht="15.75" customHeight="1" x14ac:dyDescent="0.25">
      <c r="B55" s="11" t="s">
        <v>15</v>
      </c>
      <c r="C55" s="100">
        <v>3.2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1.9375E-2</v>
      </c>
    </row>
    <row r="59" spans="1:4" ht="15.75" customHeight="1" x14ac:dyDescent="0.25">
      <c r="B59" s="11" t="s">
        <v>40</v>
      </c>
      <c r="C59" s="45">
        <v>0.54813400000000001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0.15460177999999999</v>
      </c>
    </row>
    <row r="63" spans="1:4" ht="15.75" customHeight="1" x14ac:dyDescent="0.3">
      <c r="A63" s="4"/>
    </row>
  </sheetData>
  <sheetProtection algorithmName="SHA-512" hashValue="MgKy2wofm4qvTwEEJcsBLWjCxD9OaH3ftkTsvbElc7lf/H2X4wjgU/F6MY+Xe/H2Eg0+2TSQurW0ogJNo81nYQ==" saltValue="LgPnfWrlvkaC7UmaTo/Ba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947978.11120000004</v>
      </c>
      <c r="C2" s="49">
        <v>1430000</v>
      </c>
      <c r="D2" s="49">
        <v>2324000</v>
      </c>
      <c r="E2" s="49">
        <v>1586000</v>
      </c>
      <c r="F2" s="49">
        <v>1083000</v>
      </c>
      <c r="G2" s="17">
        <f t="shared" ref="G2:G11" si="0">C2+D2+E2+F2</f>
        <v>6423000</v>
      </c>
      <c r="H2" s="17">
        <f t="shared" ref="H2:H11" si="1">(B2 + stillbirth*B2/(1000-stillbirth))/(1-abortion)</f>
        <v>1082099.6422099241</v>
      </c>
      <c r="I2" s="17">
        <f t="shared" ref="I2:I11" si="2">G2-H2</f>
        <v>5340900.3577900762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962754.47639999993</v>
      </c>
      <c r="C3" s="50">
        <v>1458000</v>
      </c>
      <c r="D3" s="50">
        <v>2389000</v>
      </c>
      <c r="E3" s="50">
        <v>1636000</v>
      </c>
      <c r="F3" s="50">
        <v>1120000</v>
      </c>
      <c r="G3" s="17">
        <f t="shared" si="0"/>
        <v>6603000</v>
      </c>
      <c r="H3" s="17">
        <f t="shared" si="1"/>
        <v>1098966.5923084265</v>
      </c>
      <c r="I3" s="17">
        <f t="shared" si="2"/>
        <v>5504033.4076915737</v>
      </c>
    </row>
    <row r="4" spans="1:9" ht="15.75" customHeight="1" x14ac:dyDescent="0.25">
      <c r="A4" s="5">
        <f t="shared" si="3"/>
        <v>2023</v>
      </c>
      <c r="B4" s="49">
        <v>977582.85240000009</v>
      </c>
      <c r="C4" s="50">
        <v>1488000</v>
      </c>
      <c r="D4" s="50">
        <v>2454000</v>
      </c>
      <c r="E4" s="50">
        <v>1690000</v>
      </c>
      <c r="F4" s="50">
        <v>1157000</v>
      </c>
      <c r="G4" s="17">
        <f t="shared" si="0"/>
        <v>6789000</v>
      </c>
      <c r="H4" s="17">
        <f t="shared" si="1"/>
        <v>1115892.91178203</v>
      </c>
      <c r="I4" s="17">
        <f t="shared" si="2"/>
        <v>5673107.08821797</v>
      </c>
    </row>
    <row r="5" spans="1:9" ht="15.75" customHeight="1" x14ac:dyDescent="0.25">
      <c r="A5" s="5">
        <f t="shared" si="3"/>
        <v>2024</v>
      </c>
      <c r="B5" s="49">
        <v>992449.64800000016</v>
      </c>
      <c r="C5" s="50">
        <v>1520000</v>
      </c>
      <c r="D5" s="50">
        <v>2517000</v>
      </c>
      <c r="E5" s="50">
        <v>1747000</v>
      </c>
      <c r="F5" s="50">
        <v>1193000</v>
      </c>
      <c r="G5" s="17">
        <f t="shared" si="0"/>
        <v>6977000</v>
      </c>
      <c r="H5" s="17">
        <f t="shared" si="1"/>
        <v>1132863.0865249932</v>
      </c>
      <c r="I5" s="17">
        <f t="shared" si="2"/>
        <v>5844136.9134750068</v>
      </c>
    </row>
    <row r="6" spans="1:9" ht="15.75" customHeight="1" x14ac:dyDescent="0.25">
      <c r="A6" s="5">
        <f t="shared" si="3"/>
        <v>2025</v>
      </c>
      <c r="B6" s="49">
        <v>1007307.231</v>
      </c>
      <c r="C6" s="50">
        <v>1555000</v>
      </c>
      <c r="D6" s="50">
        <v>2578000</v>
      </c>
      <c r="E6" s="50">
        <v>1808000</v>
      </c>
      <c r="F6" s="50">
        <v>1231000</v>
      </c>
      <c r="G6" s="17">
        <f t="shared" si="0"/>
        <v>7172000</v>
      </c>
      <c r="H6" s="17">
        <f t="shared" si="1"/>
        <v>1149822.7452538772</v>
      </c>
      <c r="I6" s="17">
        <f t="shared" si="2"/>
        <v>6022177.2547461223</v>
      </c>
    </row>
    <row r="7" spans="1:9" ht="15.75" customHeight="1" x14ac:dyDescent="0.25">
      <c r="A7" s="5">
        <f t="shared" si="3"/>
        <v>2026</v>
      </c>
      <c r="B7" s="49">
        <v>1022412.4036</v>
      </c>
      <c r="C7" s="50">
        <v>1591000</v>
      </c>
      <c r="D7" s="50">
        <v>2637000</v>
      </c>
      <c r="E7" s="50">
        <v>1870000</v>
      </c>
      <c r="F7" s="50">
        <v>1269000</v>
      </c>
      <c r="G7" s="17">
        <f t="shared" si="0"/>
        <v>7367000</v>
      </c>
      <c r="H7" s="17">
        <f t="shared" si="1"/>
        <v>1167065.0229740751</v>
      </c>
      <c r="I7" s="17">
        <f t="shared" si="2"/>
        <v>6199934.9770259252</v>
      </c>
    </row>
    <row r="8" spans="1:9" ht="15.75" customHeight="1" x14ac:dyDescent="0.25">
      <c r="A8" s="5">
        <f t="shared" si="3"/>
        <v>2027</v>
      </c>
      <c r="B8" s="49">
        <v>1037498.49</v>
      </c>
      <c r="C8" s="50">
        <v>1631000</v>
      </c>
      <c r="D8" s="50">
        <v>2694000</v>
      </c>
      <c r="E8" s="50">
        <v>1937000</v>
      </c>
      <c r="F8" s="50">
        <v>1305000</v>
      </c>
      <c r="G8" s="17">
        <f t="shared" si="0"/>
        <v>7567000</v>
      </c>
      <c r="H8" s="17">
        <f t="shared" si="1"/>
        <v>1184285.5141467284</v>
      </c>
      <c r="I8" s="17">
        <f t="shared" si="2"/>
        <v>6382714.4858532716</v>
      </c>
    </row>
    <row r="9" spans="1:9" ht="15.75" customHeight="1" x14ac:dyDescent="0.25">
      <c r="A9" s="5">
        <f t="shared" si="3"/>
        <v>2028</v>
      </c>
      <c r="B9" s="49">
        <v>1052553.2598000001</v>
      </c>
      <c r="C9" s="50">
        <v>1673000</v>
      </c>
      <c r="D9" s="50">
        <v>2751000</v>
      </c>
      <c r="E9" s="50">
        <v>2006000</v>
      </c>
      <c r="F9" s="50">
        <v>1345000</v>
      </c>
      <c r="G9" s="17">
        <f t="shared" si="0"/>
        <v>7775000</v>
      </c>
      <c r="H9" s="17">
        <f t="shared" si="1"/>
        <v>1201470.2579943594</v>
      </c>
      <c r="I9" s="17">
        <f t="shared" si="2"/>
        <v>6573529.7420056406</v>
      </c>
    </row>
    <row r="10" spans="1:9" ht="15.75" customHeight="1" x14ac:dyDescent="0.25">
      <c r="A10" s="5">
        <f t="shared" si="3"/>
        <v>2029</v>
      </c>
      <c r="B10" s="49">
        <v>1067597.2692</v>
      </c>
      <c r="C10" s="50">
        <v>1716000</v>
      </c>
      <c r="D10" s="50">
        <v>2810000</v>
      </c>
      <c r="E10" s="50">
        <v>2074000</v>
      </c>
      <c r="F10" s="50">
        <v>1386000</v>
      </c>
      <c r="G10" s="17">
        <f t="shared" si="0"/>
        <v>7986000</v>
      </c>
      <c r="H10" s="17">
        <f t="shared" si="1"/>
        <v>1218642.7190425743</v>
      </c>
      <c r="I10" s="17">
        <f t="shared" si="2"/>
        <v>6767357.2809574259</v>
      </c>
    </row>
    <row r="11" spans="1:9" ht="15.75" customHeight="1" x14ac:dyDescent="0.25">
      <c r="A11" s="5">
        <f t="shared" si="3"/>
        <v>2030</v>
      </c>
      <c r="B11" s="49">
        <v>1082552.4010000001</v>
      </c>
      <c r="C11" s="50">
        <v>1759000</v>
      </c>
      <c r="D11" s="50">
        <v>2873000</v>
      </c>
      <c r="E11" s="50">
        <v>2141000</v>
      </c>
      <c r="F11" s="50">
        <v>1431000</v>
      </c>
      <c r="G11" s="17">
        <f t="shared" si="0"/>
        <v>8204000</v>
      </c>
      <c r="H11" s="17">
        <f t="shared" si="1"/>
        <v>1235713.7279390742</v>
      </c>
      <c r="I11" s="17">
        <f t="shared" si="2"/>
        <v>6968286.2720609261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HKUffWLLVBz3yUdy9GCKWGD+faUA7/yIQlDjzOZIpLmmL2zmMI7ZooH1O53g+YqyLx7r1rkJKA5jn0YY3LSM/w==" saltValue="5rpz0Hyoy8NJ7keMyayru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0</v>
      </c>
    </row>
    <row r="4" spans="1:8" ht="15.75" customHeight="1" x14ac:dyDescent="0.25">
      <c r="B4" s="19" t="s">
        <v>97</v>
      </c>
      <c r="C4" s="101">
        <v>2.236840100862876E-2</v>
      </c>
    </row>
    <row r="5" spans="1:8" ht="15.75" customHeight="1" x14ac:dyDescent="0.25">
      <c r="B5" s="19" t="s">
        <v>95</v>
      </c>
      <c r="C5" s="101">
        <v>2.7828901869366401E-2</v>
      </c>
    </row>
    <row r="6" spans="1:8" ht="15.75" customHeight="1" x14ac:dyDescent="0.25">
      <c r="B6" s="19" t="s">
        <v>91</v>
      </c>
      <c r="C6" s="101">
        <v>0.10535892521549731</v>
      </c>
    </row>
    <row r="7" spans="1:8" ht="15.75" customHeight="1" x14ac:dyDescent="0.25">
      <c r="B7" s="19" t="s">
        <v>96</v>
      </c>
      <c r="C7" s="101">
        <v>0.40982172882225898</v>
      </c>
    </row>
    <row r="8" spans="1:8" ht="15.75" customHeight="1" x14ac:dyDescent="0.25">
      <c r="B8" s="19" t="s">
        <v>98</v>
      </c>
      <c r="C8" s="101">
        <v>0</v>
      </c>
    </row>
    <row r="9" spans="1:8" ht="15.75" customHeight="1" x14ac:dyDescent="0.25">
      <c r="B9" s="19" t="s">
        <v>92</v>
      </c>
      <c r="C9" s="101">
        <v>0.39392497298393803</v>
      </c>
    </row>
    <row r="10" spans="1:8" ht="15.75" customHeight="1" x14ac:dyDescent="0.25">
      <c r="B10" s="19" t="s">
        <v>94</v>
      </c>
      <c r="C10" s="101">
        <v>4.0697070100310678E-2</v>
      </c>
    </row>
    <row r="11" spans="1:8" ht="15.75" customHeight="1" x14ac:dyDescent="0.25">
      <c r="B11" s="27" t="s">
        <v>60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3.0100854799463211E-2</v>
      </c>
      <c r="D14" s="55">
        <v>3.0100854799463211E-2</v>
      </c>
      <c r="E14" s="55">
        <v>3.0100854799463211E-2</v>
      </c>
      <c r="F14" s="55">
        <v>3.0100854799463211E-2</v>
      </c>
    </row>
    <row r="15" spans="1:8" ht="15.75" customHeight="1" x14ac:dyDescent="0.25">
      <c r="B15" s="19" t="s">
        <v>102</v>
      </c>
      <c r="C15" s="101">
        <v>7.4836490071676878E-2</v>
      </c>
      <c r="D15" s="101">
        <v>7.4836490071676878E-2</v>
      </c>
      <c r="E15" s="101">
        <v>7.4836490071676878E-2</v>
      </c>
      <c r="F15" s="101">
        <v>7.4836490071676878E-2</v>
      </c>
    </row>
    <row r="16" spans="1:8" ht="15.75" customHeight="1" x14ac:dyDescent="0.25">
      <c r="B16" s="19" t="s">
        <v>2</v>
      </c>
      <c r="C16" s="101">
        <v>2.0367798948042939E-2</v>
      </c>
      <c r="D16" s="101">
        <v>2.0367798948042939E-2</v>
      </c>
      <c r="E16" s="101">
        <v>2.0367798948042939E-2</v>
      </c>
      <c r="F16" s="101">
        <v>2.0367798948042939E-2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101</v>
      </c>
      <c r="C19" s="101">
        <v>2.1566323907605458E-3</v>
      </c>
      <c r="D19" s="101">
        <v>2.1566323907605458E-3</v>
      </c>
      <c r="E19" s="101">
        <v>2.1566323907605458E-3</v>
      </c>
      <c r="F19" s="101">
        <v>2.1566323907605458E-3</v>
      </c>
    </row>
    <row r="20" spans="1:8" ht="15.75" customHeight="1" x14ac:dyDescent="0.25">
      <c r="B20" s="19" t="s">
        <v>79</v>
      </c>
      <c r="C20" s="101">
        <v>0.14952667703961739</v>
      </c>
      <c r="D20" s="101">
        <v>0.14952667703961739</v>
      </c>
      <c r="E20" s="101">
        <v>0.14952667703961739</v>
      </c>
      <c r="F20" s="101">
        <v>0.14952667703961739</v>
      </c>
    </row>
    <row r="21" spans="1:8" ht="15.75" customHeight="1" x14ac:dyDescent="0.25">
      <c r="B21" s="19" t="s">
        <v>88</v>
      </c>
      <c r="C21" s="101">
        <v>9.6059007995162413E-2</v>
      </c>
      <c r="D21" s="101">
        <v>9.6059007995162413E-2</v>
      </c>
      <c r="E21" s="101">
        <v>9.6059007995162413E-2</v>
      </c>
      <c r="F21" s="101">
        <v>9.6059007995162413E-2</v>
      </c>
    </row>
    <row r="22" spans="1:8" ht="15.75" customHeight="1" x14ac:dyDescent="0.25">
      <c r="B22" s="19" t="s">
        <v>99</v>
      </c>
      <c r="C22" s="101">
        <v>0.62695253875527646</v>
      </c>
      <c r="D22" s="101">
        <v>0.62695253875527646</v>
      </c>
      <c r="E22" s="101">
        <v>0.62695253875527646</v>
      </c>
      <c r="F22" s="101">
        <v>0.62695253875527646</v>
      </c>
    </row>
    <row r="23" spans="1:8" ht="15.75" customHeight="1" x14ac:dyDescent="0.25">
      <c r="B23" s="27" t="s">
        <v>60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4.3847376999999993E-2</v>
      </c>
    </row>
    <row r="27" spans="1:8" ht="15.75" customHeight="1" x14ac:dyDescent="0.25">
      <c r="B27" s="19" t="s">
        <v>89</v>
      </c>
      <c r="C27" s="101">
        <v>3.4044087000000001E-2</v>
      </c>
    </row>
    <row r="28" spans="1:8" ht="15.75" customHeight="1" x14ac:dyDescent="0.25">
      <c r="B28" s="19" t="s">
        <v>103</v>
      </c>
      <c r="C28" s="101">
        <v>4.3283602999999997E-2</v>
      </c>
    </row>
    <row r="29" spans="1:8" ht="15.75" customHeight="1" x14ac:dyDescent="0.25">
      <c r="B29" s="19" t="s">
        <v>86</v>
      </c>
      <c r="C29" s="101">
        <v>0.177569167</v>
      </c>
    </row>
    <row r="30" spans="1:8" ht="15.75" customHeight="1" x14ac:dyDescent="0.25">
      <c r="B30" s="19" t="s">
        <v>4</v>
      </c>
      <c r="C30" s="101">
        <v>3.1893660999999997E-2</v>
      </c>
    </row>
    <row r="31" spans="1:8" ht="15.75" customHeight="1" x14ac:dyDescent="0.25">
      <c r="B31" s="19" t="s">
        <v>80</v>
      </c>
      <c r="C31" s="101">
        <v>9.3503550000000005E-2</v>
      </c>
    </row>
    <row r="32" spans="1:8" ht="15.75" customHeight="1" x14ac:dyDescent="0.25">
      <c r="B32" s="19" t="s">
        <v>85</v>
      </c>
      <c r="C32" s="101">
        <v>7.8392814000000005E-2</v>
      </c>
    </row>
    <row r="33" spans="2:3" ht="15.75" customHeight="1" x14ac:dyDescent="0.25">
      <c r="B33" s="19" t="s">
        <v>100</v>
      </c>
      <c r="C33" s="101">
        <v>0.15751110600000001</v>
      </c>
    </row>
    <row r="34" spans="2:3" ht="15.75" customHeight="1" x14ac:dyDescent="0.25">
      <c r="B34" s="19" t="s">
        <v>87</v>
      </c>
      <c r="C34" s="101">
        <v>0.33995463500000001</v>
      </c>
    </row>
    <row r="35" spans="2:3" ht="15.75" customHeight="1" x14ac:dyDescent="0.25">
      <c r="B35" s="27" t="s">
        <v>60</v>
      </c>
      <c r="C35" s="48">
        <f>SUM(C26:C34)</f>
        <v>1</v>
      </c>
    </row>
  </sheetData>
  <sheetProtection algorithmName="SHA-512" hashValue="PiuhvpPgmylmXOpGMYMF6HSo9jAViD7MvkhzRodjDsTj0mT+mI3sup5UJtbJWCRLspjyCdmFRPMlHfY/qvFUuQ==" saltValue="970s6rET0YnZPllidFa0U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0.93833866148798106</v>
      </c>
      <c r="D2" s="52">
        <f>IFERROR(1-_xlfn.NORM.DIST(_xlfn.NORM.INV(SUM(D4:D5), 0, 1) + 1, 0, 1, TRUE), "")</f>
        <v>0.93833866148798106</v>
      </c>
      <c r="E2" s="52">
        <f>IFERROR(1-_xlfn.NORM.DIST(_xlfn.NORM.INV(SUM(E4:E5), 0, 1) + 1, 0, 1, TRUE), "")</f>
        <v>0.97657259788527084</v>
      </c>
      <c r="F2" s="52">
        <f>IFERROR(1-_xlfn.NORM.DIST(_xlfn.NORM.INV(SUM(F4:F5), 0, 1) + 1, 0, 1, TRUE), "")</f>
        <v>0.76771322469849701</v>
      </c>
      <c r="G2" s="52">
        <f>IFERROR(1-_xlfn.NORM.DIST(_xlfn.NORM.INV(SUM(G4:G5), 0, 1) + 1, 0, 1, TRUE), "")</f>
        <v>0.76772724821307881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5.6134159912018915E-2</v>
      </c>
      <c r="D3" s="52">
        <f>IFERROR(_xlfn.NORM.DIST(_xlfn.NORM.INV(SUM(D4:D5), 0, 1) + 1, 0, 1, TRUE) - SUM(D4:D5), "")</f>
        <v>5.6134159912018915E-2</v>
      </c>
      <c r="E3" s="52">
        <f>IFERROR(_xlfn.NORM.DIST(_xlfn.NORM.INV(SUM(E4:E5), 0, 1) + 1, 0, 1, TRUE) - SUM(E4:E5), "")</f>
        <v>2.2021563114729165E-2</v>
      </c>
      <c r="F3" s="52">
        <f>IFERROR(_xlfn.NORM.DIST(_xlfn.NORM.INV(SUM(F4:F5), 0, 1) + 1, 0, 1, TRUE) - SUM(F4:F5), "")</f>
        <v>0.19059090600150297</v>
      </c>
      <c r="G3" s="52">
        <f>IFERROR(_xlfn.NORM.DIST(_xlfn.NORM.INV(SUM(G4:G5), 0, 1) + 1, 0, 1, TRUE) - SUM(G4:G5), "")</f>
        <v>0.19058097588692124</v>
      </c>
    </row>
    <row r="4" spans="1:15" ht="15.75" customHeight="1" x14ac:dyDescent="0.25">
      <c r="B4" s="5" t="s">
        <v>110</v>
      </c>
      <c r="C4" s="45">
        <v>5.5271786E-3</v>
      </c>
      <c r="D4" s="53">
        <v>5.5271786E-3</v>
      </c>
      <c r="E4" s="53">
        <v>0</v>
      </c>
      <c r="F4" s="53">
        <v>3.6424096000000003E-2</v>
      </c>
      <c r="G4" s="53">
        <v>3.7740078000000003E-2</v>
      </c>
    </row>
    <row r="5" spans="1:15" ht="15.75" customHeight="1" x14ac:dyDescent="0.25">
      <c r="B5" s="5" t="s">
        <v>106</v>
      </c>
      <c r="C5" s="45">
        <v>0</v>
      </c>
      <c r="D5" s="53">
        <v>0</v>
      </c>
      <c r="E5" s="53">
        <v>1.4058390000000001E-3</v>
      </c>
      <c r="F5" s="53">
        <v>5.2717733000000001E-3</v>
      </c>
      <c r="G5" s="53">
        <v>3.9516979000000004E-3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0.86844633964209028</v>
      </c>
      <c r="D8" s="52">
        <f>IFERROR(1-_xlfn.NORM.DIST(_xlfn.NORM.INV(SUM(D10:D11), 0, 1) + 1, 0, 1, TRUE), "")</f>
        <v>0.86844633964209028</v>
      </c>
      <c r="E8" s="52">
        <f>IFERROR(1-_xlfn.NORM.DIST(_xlfn.NORM.INV(SUM(E10:E11), 0, 1) + 1, 0, 1, TRUE), "")</f>
        <v>0.94854441272980083</v>
      </c>
      <c r="F8" s="52">
        <f>IFERROR(1-_xlfn.NORM.DIST(_xlfn.NORM.INV(SUM(F10:F11), 0, 1) + 1, 0, 1, TRUE), "")</f>
        <v>0.83838131374153957</v>
      </c>
      <c r="G8" s="52">
        <f>IFERROR(1-_xlfn.NORM.DIST(_xlfn.NORM.INV(SUM(G10:G11), 0, 1) + 1, 0, 1, TRUE), "")</f>
        <v>0.85944405584287498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0.11451167735790969</v>
      </c>
      <c r="D9" s="52">
        <f>IFERROR(_xlfn.NORM.DIST(_xlfn.NORM.INV(SUM(D10:D11), 0, 1) + 1, 0, 1, TRUE) - SUM(D10:D11), "")</f>
        <v>0.11451167735790969</v>
      </c>
      <c r="E9" s="52">
        <f>IFERROR(_xlfn.NORM.DIST(_xlfn.NORM.INV(SUM(E10:E11), 0, 1) + 1, 0, 1, TRUE) - SUM(E10:E11), "")</f>
        <v>4.7197647470199125E-2</v>
      </c>
      <c r="F9" s="52">
        <f>IFERROR(_xlfn.NORM.DIST(_xlfn.NORM.INV(SUM(F10:F11), 0, 1) + 1, 0, 1, TRUE) - SUM(F10:F11), "")</f>
        <v>0.13820327405846045</v>
      </c>
      <c r="G9" s="52">
        <f>IFERROR(_xlfn.NORM.DIST(_xlfn.NORM.INV(SUM(G10:G11), 0, 1) + 1, 0, 1, TRUE) - SUM(G10:G11), "")</f>
        <v>0.12169320112712502</v>
      </c>
    </row>
    <row r="10" spans="1:15" ht="15.75" customHeight="1" x14ac:dyDescent="0.25">
      <c r="B10" s="5" t="s">
        <v>107</v>
      </c>
      <c r="C10" s="45">
        <v>1.5226834999999999E-2</v>
      </c>
      <c r="D10" s="53">
        <v>1.5226834999999999E-2</v>
      </c>
      <c r="E10" s="53">
        <v>4.2579397999999999E-3</v>
      </c>
      <c r="F10" s="53">
        <v>1.9031348999999999E-2</v>
      </c>
      <c r="G10" s="53">
        <v>1.8356117000000002E-2</v>
      </c>
    </row>
    <row r="11" spans="1:15" ht="15.75" customHeight="1" x14ac:dyDescent="0.25">
      <c r="B11" s="5" t="s">
        <v>119</v>
      </c>
      <c r="C11" s="45">
        <v>1.8151479999999999E-3</v>
      </c>
      <c r="D11" s="53">
        <v>1.8151479999999999E-3</v>
      </c>
      <c r="E11" s="53">
        <v>0</v>
      </c>
      <c r="F11" s="53">
        <v>4.3840631999999997E-3</v>
      </c>
      <c r="G11" s="53">
        <v>5.0662603000000003E-4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0.95296559150000004</v>
      </c>
      <c r="D14" s="54">
        <v>0.95116511860899999</v>
      </c>
      <c r="E14" s="54">
        <v>0.95116511860899999</v>
      </c>
      <c r="F14" s="54">
        <v>0.76734861546599997</v>
      </c>
      <c r="G14" s="54">
        <v>0.76734861546599997</v>
      </c>
      <c r="H14" s="45">
        <v>0.247</v>
      </c>
      <c r="I14" s="55">
        <v>0.247</v>
      </c>
      <c r="J14" s="55">
        <v>0.247</v>
      </c>
      <c r="K14" s="55">
        <v>0.247</v>
      </c>
      <c r="L14" s="45">
        <v>0.14599999999999999</v>
      </c>
      <c r="M14" s="55">
        <v>0.14599999999999999</v>
      </c>
      <c r="N14" s="55">
        <v>0.14599999999999999</v>
      </c>
      <c r="O14" s="55">
        <v>0.14599999999999999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0.52235284153126105</v>
      </c>
      <c r="D15" s="52">
        <f t="shared" si="0"/>
        <v>0.52136594112362566</v>
      </c>
      <c r="E15" s="52">
        <f t="shared" si="0"/>
        <v>0.52136594112362566</v>
      </c>
      <c r="F15" s="52">
        <f t="shared" si="0"/>
        <v>0.42060986598984046</v>
      </c>
      <c r="G15" s="52">
        <f t="shared" si="0"/>
        <v>0.42060986598984046</v>
      </c>
      <c r="H15" s="52">
        <f t="shared" si="0"/>
        <v>0.13538909800000001</v>
      </c>
      <c r="I15" s="52">
        <f t="shared" si="0"/>
        <v>0.13538909800000001</v>
      </c>
      <c r="J15" s="52">
        <f t="shared" si="0"/>
        <v>0.13538909800000001</v>
      </c>
      <c r="K15" s="52">
        <f t="shared" si="0"/>
        <v>0.13538909800000001</v>
      </c>
      <c r="L15" s="52">
        <f t="shared" si="0"/>
        <v>8.0027563999999995E-2</v>
      </c>
      <c r="M15" s="52">
        <f t="shared" si="0"/>
        <v>8.0027563999999995E-2</v>
      </c>
      <c r="N15" s="52">
        <f t="shared" si="0"/>
        <v>8.0027563999999995E-2</v>
      </c>
      <c r="O15" s="52">
        <f t="shared" si="0"/>
        <v>8.0027563999999995E-2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K3n0kdHJP57jaAj7skTkJm3kAm0wy32ssmWwhwKndTc8DwwCo21ftMEly7RuUWwr+tPgwciFJdz3R4oDp19Igg==" saltValue="j2d6Xiqc7wqY76o31Cx1l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0.43854946140000001</v>
      </c>
      <c r="D2" s="53">
        <v>0.22471399</v>
      </c>
      <c r="E2" s="53"/>
      <c r="F2" s="53"/>
      <c r="G2" s="53"/>
    </row>
    <row r="3" spans="1:7" x14ac:dyDescent="0.25">
      <c r="B3" s="3" t="s">
        <v>127</v>
      </c>
      <c r="C3" s="53">
        <v>8.4647979999999998E-2</v>
      </c>
      <c r="D3" s="53">
        <v>0.14546853000000001</v>
      </c>
      <c r="E3" s="53"/>
      <c r="F3" s="53"/>
      <c r="G3" s="53"/>
    </row>
    <row r="4" spans="1:7" x14ac:dyDescent="0.25">
      <c r="B4" s="3" t="s">
        <v>126</v>
      </c>
      <c r="C4" s="53">
        <v>0.37770904999999999</v>
      </c>
      <c r="D4" s="53">
        <v>0.45987926000000001</v>
      </c>
      <c r="E4" s="53">
        <v>0.68089199066162098</v>
      </c>
      <c r="F4" s="53">
        <v>0.39779895544052102</v>
      </c>
      <c r="G4" s="53"/>
    </row>
    <row r="5" spans="1:7" x14ac:dyDescent="0.25">
      <c r="B5" s="3" t="s">
        <v>125</v>
      </c>
      <c r="C5" s="52">
        <v>9.9093484879999985E-2</v>
      </c>
      <c r="D5" s="52">
        <v>0.16993823999999999</v>
      </c>
      <c r="E5" s="52">
        <f>1-SUM(E2:E4)</f>
        <v>0.31910800933837902</v>
      </c>
      <c r="F5" s="52">
        <f>1-SUM(F2:F4)</f>
        <v>0.60220104455947898</v>
      </c>
      <c r="G5" s="52">
        <f>1-SUM(G2:G4)</f>
        <v>1</v>
      </c>
    </row>
  </sheetData>
  <sheetProtection algorithmName="SHA-512" hashValue="O6Yuzi6sF3o9agd9VTSesFYWKM0nvkdbIy3IK9MbM5AcZ5l/jJmbmmgJrCkmjzNAST49t3snydOueUBCwWHo7Q==" saltValue="7pIIUTdH85fyYRQQhsL4o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9zq/AmFAe7Xt+WbFRdAkVrQGFGFvKkS2xdIMDhbi+4imzcPCHE0ChRhCJwdXOPzJIgIB3XAuOg2jS5euCreeQ==" saltValue="eL3khGFKtr5j6elWsgO/Q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x14ac:dyDescent="0.25">
      <c r="A2" s="8" t="s">
        <v>144</v>
      </c>
      <c r="B2" s="41">
        <v>10</v>
      </c>
    </row>
    <row r="3" spans="1:2" x14ac:dyDescent="0.25">
      <c r="A3" s="8" t="s">
        <v>143</v>
      </c>
      <c r="B3" s="41">
        <v>10</v>
      </c>
    </row>
    <row r="4" spans="1:2" x14ac:dyDescent="0.25">
      <c r="A4" s="8" t="s">
        <v>142</v>
      </c>
      <c r="B4" s="41">
        <v>10</v>
      </c>
    </row>
    <row r="5" spans="1:2" x14ac:dyDescent="0.25">
      <c r="A5" s="8" t="s">
        <v>146</v>
      </c>
      <c r="B5" s="41">
        <v>10</v>
      </c>
    </row>
    <row r="6" spans="1:2" x14ac:dyDescent="0.25">
      <c r="A6" s="8" t="s">
        <v>140</v>
      </c>
      <c r="B6" s="41">
        <v>10</v>
      </c>
    </row>
    <row r="7" spans="1:2" x14ac:dyDescent="0.25">
      <c r="A7" s="8" t="s">
        <v>141</v>
      </c>
      <c r="B7" s="41">
        <v>10</v>
      </c>
    </row>
  </sheetData>
  <sheetProtection algorithmName="SHA-512" hashValue="9lggG7fqcx1PIfMHNJY/MNA9XF/PVFm+JxLCQ3Q1628yOvkcm5HDx41dNoFFa5FvHoKHGFia9mnLo/kpERyQQw==" saltValue="oj2fv4BE/BtcaSg7c3WpP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77</v>
      </c>
      <c r="C5" s="47"/>
      <c r="D5" s="47"/>
      <c r="E5" s="38" t="str">
        <f>IF(E$7="","",E$7)</f>
        <v/>
      </c>
    </row>
    <row r="6" spans="1:5" x14ac:dyDescent="0.25">
      <c r="B6" s="32" t="s">
        <v>75</v>
      </c>
      <c r="C6" s="47"/>
      <c r="D6" s="47"/>
      <c r="E6" s="38" t="str">
        <f>IF(E$7="","",E$7)</f>
        <v/>
      </c>
    </row>
    <row r="7" spans="1:5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5">
      <c r="B10" s="32" t="s">
        <v>78</v>
      </c>
      <c r="C10" s="47"/>
      <c r="D10" s="47"/>
      <c r="E10" s="38" t="str">
        <f>IF(E$7="","",E$7)</f>
        <v/>
      </c>
    </row>
    <row r="11" spans="1:5" x14ac:dyDescent="0.25">
      <c r="B11" s="32" t="s">
        <v>74</v>
      </c>
      <c r="C11" s="47"/>
      <c r="D11" s="47"/>
      <c r="E11" s="38" t="str">
        <f>IF(E$7="","",E$7)</f>
        <v/>
      </c>
    </row>
    <row r="12" spans="1:5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148</v>
      </c>
      <c r="C21" s="31"/>
      <c r="D21" s="30"/>
      <c r="E21" s="47"/>
    </row>
  </sheetData>
  <sheetProtection algorithmName="SHA-512" hashValue="Fg8S0Z+O3FPgCGhA19O+jvSaR7nEinU6tnlI1/t68BpCDkS6b0yd+2X0DJGSI/XIzbrgBV6F9Wx6sZDhCsOfwA==" saltValue="wRPGB3f03PUq4iTbwOdyn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XTTslatdKJBBrd/bmU3FpT3KtVsZ6moEPLZ7ljGH/4FtZu0tjx18PNB2jmGMaSYf58+tE1KkM2x0/9zZTVllgQ==" saltValue="BstZ6REWuhmblCKDIxdOl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0.63209012076205195</v>
      </c>
      <c r="C2" s="98">
        <v>0.95</v>
      </c>
      <c r="D2" s="56">
        <v>41.387637286401322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44.781858972877899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153.4973723658575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0.29312507679810212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14.30692084199827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14.30692084199827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14.30692084199827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14.30692084199827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14.30692084199827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14.30692084199827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0.75127765838598504</v>
      </c>
      <c r="C16" s="98">
        <v>0.95</v>
      </c>
      <c r="D16" s="56">
        <v>0.36320040935559378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3.617191631009383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3.617191631009383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0.20890825269999999</v>
      </c>
      <c r="C21" s="98">
        <v>0.95</v>
      </c>
      <c r="D21" s="56">
        <v>2.758347102408317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24.452045938305751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3.2008066180000003E-2</v>
      </c>
      <c r="C23" s="98">
        <v>0.95</v>
      </c>
      <c r="D23" s="56">
        <v>4.7321919239691654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0.89337655369133406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0.61467118137531007</v>
      </c>
      <c r="C27" s="98">
        <v>0.95</v>
      </c>
      <c r="D27" s="56">
        <v>20.61562649086434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0.56282257079999998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75.665679869964904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</v>
      </c>
      <c r="C31" s="98">
        <v>0.95</v>
      </c>
      <c r="D31" s="56">
        <v>0.89524516395230957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0.22471399</v>
      </c>
      <c r="C32" s="98">
        <v>0.95</v>
      </c>
      <c r="D32" s="56">
        <v>0.73334431799167266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0.97818360252186098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4.8103308680000012E-2</v>
      </c>
      <c r="C38" s="98">
        <v>0.95</v>
      </c>
      <c r="D38" s="56">
        <v>5.7467676630794493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0.75648277279999998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b+NZpUUczt9BgPPTurVbK9rkNoG7yP5y6pTeKQvI3JVVX9oVDgjuZ9Z4y/I41GgW1c+LBQ3wLtPSRUlXV287nA==" saltValue="M0jmgNXZvaw98TkbIo0Pi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x14ac:dyDescent="0.25">
      <c r="A2" s="57" t="s">
        <v>178</v>
      </c>
      <c r="B2" s="47" t="s">
        <v>191</v>
      </c>
      <c r="C2" s="47"/>
    </row>
    <row r="3" spans="1:3" x14ac:dyDescent="0.25">
      <c r="A3" s="57" t="s">
        <v>179</v>
      </c>
      <c r="B3" s="47" t="s">
        <v>191</v>
      </c>
      <c r="C3" s="47"/>
    </row>
    <row r="4" spans="1:3" x14ac:dyDescent="0.25">
      <c r="A4" s="57" t="s">
        <v>193</v>
      </c>
      <c r="B4" s="47" t="s">
        <v>184</v>
      </c>
      <c r="C4" s="47"/>
    </row>
    <row r="5" spans="1:3" x14ac:dyDescent="0.25">
      <c r="A5" s="57" t="s">
        <v>190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cp2uF/w/TXNudLRQ96peO7DVawvxHvTXr8KiUi5xu6uLPF4LG2d/EoX1OmSpBZT51bPpe1CKLk86vRttrQ8ltg==" saltValue="T43PqRMLFOuudBvtLs2e+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x14ac:dyDescent="0.25">
      <c r="A2" s="33" t="s">
        <v>170</v>
      </c>
    </row>
    <row r="3" spans="1:1" x14ac:dyDescent="0.25">
      <c r="A3" s="33" t="s">
        <v>180</v>
      </c>
    </row>
    <row r="4" spans="1:1" x14ac:dyDescent="0.25">
      <c r="A4" s="33" t="s">
        <v>185</v>
      </c>
    </row>
    <row r="5" spans="1:1" x14ac:dyDescent="0.25">
      <c r="A5" s="33" t="s">
        <v>197</v>
      </c>
    </row>
    <row r="6" spans="1:1" x14ac:dyDescent="0.25">
      <c r="A6" s="33" t="s">
        <v>198</v>
      </c>
    </row>
    <row r="7" spans="1:1" x14ac:dyDescent="0.25">
      <c r="A7" s="33" t="s">
        <v>199</v>
      </c>
    </row>
    <row r="8" spans="1:1" x14ac:dyDescent="0.25">
      <c r="A8" s="33" t="s">
        <v>200</v>
      </c>
    </row>
    <row r="9" spans="1:1" x14ac:dyDescent="0.25">
      <c r="A9" s="33" t="s">
        <v>201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dSn9OwAvSvUia1tycuDyLHD6SJ6woW52X83NpWU7ujhHNmn3z85sqyP1MRoWRDutBVGapcqwk1by9m3CBtMvOg==" saltValue="blkzzFy7b0dsiewryWhaB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5">
      <c r="A3" s="3" t="s">
        <v>6</v>
      </c>
      <c r="B3" s="21">
        <f>frac_mam_1month * 2.6</f>
        <v>3.9589771000000003E-2</v>
      </c>
      <c r="C3" s="21">
        <f>frac_mam_1_5months * 2.6</f>
        <v>3.9589771000000003E-2</v>
      </c>
      <c r="D3" s="21">
        <f>frac_mam_6_11months * 2.6</f>
        <v>1.107064348E-2</v>
      </c>
      <c r="E3" s="21">
        <f>frac_mam_12_23months * 2.6</f>
        <v>4.9481507399999999E-2</v>
      </c>
      <c r="F3" s="21">
        <f>frac_mam_24_59months * 2.6</f>
        <v>4.7725904200000009E-2</v>
      </c>
    </row>
    <row r="4" spans="1:6" ht="15.75" customHeight="1" x14ac:dyDescent="0.25">
      <c r="A4" s="3" t="s">
        <v>207</v>
      </c>
      <c r="B4" s="21">
        <f>frac_sam_1month * 2.6</f>
        <v>4.7193848000000004E-3</v>
      </c>
      <c r="C4" s="21">
        <f>frac_sam_1_5months * 2.6</f>
        <v>4.7193848000000004E-3</v>
      </c>
      <c r="D4" s="21">
        <f>frac_sam_6_11months * 2.6</f>
        <v>0</v>
      </c>
      <c r="E4" s="21">
        <f>frac_sam_12_23months * 2.6</f>
        <v>1.139856432E-2</v>
      </c>
      <c r="F4" s="21">
        <f>frac_sam_24_59months * 2.6</f>
        <v>1.3172276780000001E-3</v>
      </c>
    </row>
  </sheetData>
  <sheetProtection algorithmName="SHA-512" hashValue="TVZw+yH50Nd3ARZtForBO7iNBpZhetOVcoo7IqWeh5+VMVeEVNt8AD3xn/x7oexuWkPXLvPog2yF7r1UsROyoA==" saltValue="y1bbZhzNBtgwemiiEObQk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0.44</v>
      </c>
      <c r="E10" s="60">
        <f>IF(ISBLANK(comm_deliv), frac_children_health_facility,1)</f>
        <v>0.44</v>
      </c>
      <c r="F10" s="60">
        <f>IF(ISBLANK(comm_deliv), frac_children_health_facility,1)</f>
        <v>0.44</v>
      </c>
      <c r="G10" s="60">
        <f>IF(ISBLANK(comm_deliv), frac_children_health_facility,1)</f>
        <v>0.44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0.442</v>
      </c>
      <c r="I18" s="60">
        <f>frac_PW_health_facility</f>
        <v>0.442</v>
      </c>
      <c r="J18" s="60">
        <f>frac_PW_health_facility</f>
        <v>0.442</v>
      </c>
      <c r="K18" s="60">
        <f>frac_PW_health_facility</f>
        <v>0.442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0.68900000000000006</v>
      </c>
      <c r="M24" s="60">
        <f>famplan_unmet_need</f>
        <v>0.68900000000000006</v>
      </c>
      <c r="N24" s="60">
        <f>famplan_unmet_need</f>
        <v>0.68900000000000006</v>
      </c>
      <c r="O24" s="60">
        <f>famplan_unmet_need</f>
        <v>0.68900000000000006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0.32826704320831274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0.14068587566070545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0.19698419966125474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0.33406288146972701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Yd9LgZvEjH4FNuUHd37SrHIG4VYDD5s/8A0pidswfP1KDo7MtZek0uhIV+uRzJ6sRaAPVRm4zSrvjCfRnzgj7g==" saltValue="BcNvN0kSOzUNFCaNA2ymG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sdEf3zAlTxTqAJdBfhrsvuH3Sf5WMAUpRbFKWYOLerNQIF5Wzk25b/xZk/jion2+CJRgVW3P9aov5PENBLXQow==" saltValue="Pqp6ZYbyfGJa/OboZ8izH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z8JJLErQClsxEckJlf9N/a06YVbIKVsQhpHx57mRUgYNmP3vIp+TqMXOQa4tc7TmbMvhhhXxycvRxqDlzJ1jKw==" saltValue="8uvo6nRPL/k9oE9rb/wFA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1WFGnX6WFTHlY4lsQ/eFkpvyuPn/4tZzsSr5UNigTy1ZGnvzoqzrl4R07Am1g8yPbLaa0m9deisuYVlTZ10zQw==" saltValue="5gnNcyRkYDviIbCP7gSlK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NCeDABDFVlka58m5g6jkyHcayO1YB00DZ1l8E2Z0nx9v9RsvEDZx2t9I6X/JnB7IFfpmk80pbJ14U74FRZivCQ==" saltValue="wMmdRkOzNtoxxFxfH9aYR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eqI2mbDnv71tC2RhaKmAGulce+opYmT9zVKIGdIGe6frCKwrCh3X4hfa72V/IR0+RiBIJTcnbf8z/jhdkiWu/A==" saltValue="1D4ABvR+VCUKvJM7kC7BN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78</v>
      </c>
      <c r="C5" s="8" t="s">
        <v>150</v>
      </c>
      <c r="D5" s="88">
        <f>IF(ISBLANK('Distribución de lactancia'!$C$2),1.56,(1.56-'Distribución de lactancia'!$C$2)/(1-'Distribución de lactancia'!$C$2))</f>
        <v>1.9974164445480507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149</v>
      </c>
      <c r="D6" s="88">
        <f>IF(ISBLANK('Distribución de lactancia'!$C$2),1.56,(1.56-'Distribución de lactancia'!$C$2)/(1-'Distribución de lactancia'!$C$2))</f>
        <v>1.9974164445480507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74</v>
      </c>
      <c r="C8" s="8" t="s">
        <v>150</v>
      </c>
      <c r="D8" s="88">
        <v>1</v>
      </c>
      <c r="E8" s="88">
        <f>IF(ISBLANK('Distribución de lactancia'!$D$2),1.56,(1.56-'Distribución de lactancia'!$D$2)/(1-'Distribución de lactancia'!$D$2))</f>
        <v>1.7223140786456346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149</v>
      </c>
      <c r="D9" s="88">
        <v>1</v>
      </c>
      <c r="E9" s="88">
        <f>IF(ISBLANK('Distribución de lactancia'!$D$2),1.56,(1.56-'Distribución de lactancia'!$D$2)/(1-'Distribución de lactancia'!$D$2))</f>
        <v>1.7223140786456346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IF(ISBLANK('Distribución de lactancia'!$C$2),1.37,(1.37-'Distribución de lactancia'!$C$2)/(1-'Distribución de lactancia'!$C$2))</f>
        <v>1.6590072937192479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IF(ISBLANK('Distribución de lactancia'!$C$2),1.37,(1.37-'Distribución de lactancia'!$C$2)/(1-'Distribución de lactancia'!$C$2))</f>
        <v>1.6590072937192479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IF(ISBLANK('Distribución de lactancia'!$D$2),1.37,(1.37-'Distribución de lactancia'!$D$2)/(1-'Distribución de lactancia'!$D$2))</f>
        <v>1.4772432305337229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IF(ISBLANK('Distribución de lactancia'!$D$2),1.37,(1.37-'Distribución de lactancia'!$D$2)/(1-'Distribución de lactancia'!$D$2))</f>
        <v>1.4772432305337229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IF(ISBLANK('Distribución de lactancia'!$C$2),1.77,(1.77-'Distribución de lactancia'!$C$2)/(1-'Distribución de lactancia'!$C$2))</f>
        <v>2.3714476112535698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IF(ISBLANK('Distribución de lactancia'!$C$2),1.77,(1.77-'Distribución de lactancia'!$C$2)/(1-'Distribución de lactancia'!$C$2))</f>
        <v>2.3714476112535698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IF(ISBLANK('Distribución de lactancia'!$D$2),1.77,(1.77-'Distribución de lactancia'!$D$2)/(1-'Distribución de lactancia'!$D$2))</f>
        <v>1.9931818581377474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IF(ISBLANK('Distribución de lactancia'!$D$2),1.77,(1.77-'Distribución de lactancia'!$D$2)/(1-'Distribución de lactancia'!$D$2))</f>
        <v>1.9931818581377474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w0GKWu9bxyE5KIWDW5LOJ8jFjk8nNBEjzFmad8VJTn5lvC8CyRPHCW3sEfucBgHUoM6TeLL1EC+eVxq25UJUJw==" saltValue="1LUR7TqgIjP3hYNmlKr0L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/VPCexZwrjnZc/m9VnbCBbbPk5I+ipPFwZn+fzCUxX42lZ7Y2V7FCjek879rbUBccDhloCG0aPhcXo47z3fLEw==" saltValue="U5NVpmmLXfx36dEtUo+tW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bisMtFSWIpbRZMAhuVTSuaRHHlehGIJCAEViMN/X6zH3PAxVnjqNL8gWe/T1h+XUIEbyrCQ0OxA+Xie/iWJ0nA==" saltValue="Q66SwdATHDLe1HkkY8qNU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0.63967580300237892</v>
      </c>
      <c r="F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0.63967580300237892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F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F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0.8798513595127575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0.43965338686620498</v>
      </c>
      <c r="F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0.43965338686620498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F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F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0.84982054108070459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0.91989639625142505</v>
      </c>
      <c r="F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0.91989639625142505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F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F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0.90988471429934803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0CvFip/LamCk8gcCVQs+UWOhyczfNEH151YsGhiSUWRfQ+bumJI+86HGIkv++HbLAS+XUE5PP9VCDY6RYixfaA==" saltValue="+v4ENaTkPcdQLEWMrA6rP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fcfZSu6mXTndEA/UtvbdAFti2bELBsaQq32X/QkDxaCXksU0G3hR05v1pzRzvwf9zZQLFBgF74NJH4QwNgKPwA==" saltValue="q3yiNuxszPqaOezlCpQm2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0.11156552306897574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0.37431425521754819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0.37431425521754819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0.65943368687360127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0.65943368687360127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0.65943368687360127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0.65943368687360127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0.68710888610763443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0.68710888610763443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0.68710888610763443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0.68710888610763443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0.16341760762226323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0.48202779892287062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0.48202779892287062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0.75074775672981064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0.75074775672981064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0.75074775672981064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0.75074775672981064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0.77355072463768115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0.77355072463768115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0.77355072463768115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0.77355072463768115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175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177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178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179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180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190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191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204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172</v>
      </c>
      <c r="C42" s="90">
        <f t="shared" ref="C42:D44" si="14">IF(C19=1,1,C19*0.9)</f>
        <v>1</v>
      </c>
      <c r="D42" s="90">
        <f t="shared" si="14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5.4219607759929872E-2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0.21452345804823927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0.21452345804823927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0.46920218781011286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0.46920218781011286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0.46920218781011286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0.46920218781011286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0.50062964088757644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0.50062964088757644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0.50062964088757644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0.50062964088757644</v>
      </c>
    </row>
    <row r="43" spans="1:15" x14ac:dyDescent="0.25">
      <c r="B43" s="5" t="s">
        <v>173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181</v>
      </c>
      <c r="C44" s="90">
        <f t="shared" si="14"/>
        <v>1</v>
      </c>
      <c r="D44" s="90">
        <f t="shared" si="14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0.10229207358998513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0.35185020831533975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0.35185020831533975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0.63728690605730876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0.63728690605730876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0.63728690605730876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0.63728690605730876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0.66584985520160378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0.66584985520160378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0.66584985520160378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0.66584985520160378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174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175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176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177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178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179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180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190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191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204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172</v>
      </c>
      <c r="C65" s="90">
        <f t="shared" ref="C65:D67" si="30">IF(C19=1,1,C19*1.05)</f>
        <v>1</v>
      </c>
      <c r="D65" s="90">
        <f t="shared" si="3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0.61225198399776215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0.88266208883925845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0.88266208883925845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0.96054759932141875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0.96054759932141875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0.96054759932141875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0.96054759932141875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0.96505044385936301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0.96505044385936301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0.96505044385936301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0.96505044385936301</v>
      </c>
    </row>
    <row r="66" spans="2:15" x14ac:dyDescent="0.25">
      <c r="B66" s="5" t="s">
        <v>173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181</v>
      </c>
      <c r="C67" s="90">
        <f t="shared" si="30"/>
        <v>1</v>
      </c>
      <c r="D67" s="90">
        <f t="shared" si="3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0.359631613381305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0.72792750106494808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0.72792750106494808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0.89647497282468047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0.89647497282468047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0.89647497282468047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0.89647497282468047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0.90758709915904257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0.90758709915904257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0.90758709915904257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0.90758709915904257</v>
      </c>
    </row>
  </sheetData>
  <sheetProtection algorithmName="SHA-512" hashValue="Y1sHIYhhiomg6tK99hQU8eY7hCpmWhX+o9EpRRFTCHTKIik7JpjbDPn50z7F2mM7BX5vCZ9bcgHQfQTJeBsnBg==" saltValue="zkwR2VX+E3VbfeAXAHEp+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x14ac:dyDescent="0.25">
      <c r="B3" s="11" t="s">
        <v>164</v>
      </c>
      <c r="C3" s="90">
        <v>1</v>
      </c>
      <c r="D3" s="90">
        <f>IF(ISBLANK('Distribución estado nutricional'!D$11),0.86,(0.86*'Distribución estado nutricional'!D$11/(1-0.86*'Distribución estado nutricional'!D$11))
/ ('Distribución estado nutricional'!D$11/(1-'Distribución estado nutricional'!D$11)))</f>
        <v>0.85978111449455474</v>
      </c>
      <c r="E3" s="90" t="e">
        <f>IF(ISBLANK('Distribución estado nutricional'!E$11),0.86,(0.86*'Distribución estado nutricional'!E$11/(1-0.86*'Distribución estado nutricional'!E$11))
/ ('Distribución estado nutricional'!E$11/(1-'Distribución estado nutricional'!E$11)))</f>
        <v>#DIV/0!</v>
      </c>
      <c r="F3" s="90">
        <f>IF(ISBLANK('Distribución estado nutricional'!F$11),0.86,(0.86*'Distribución estado nutricional'!F$11/(1-0.86*'Distribución estado nutricional'!F$11))
/ ('Distribución estado nutricional'!F$11/(1-'Distribución estado nutricional'!F$11)))</f>
        <v>0.85947016114226726</v>
      </c>
      <c r="G3" s="90">
        <f>IF(ISBLANK('Distribución estado nutricional'!G$11),0.86,(0.86*'Distribución estado nutricional'!G$11/(1-0.86*'Distribución estado nutricional'!G$11))
/ ('Distribución estado nutricional'!G$11/(1-'Distribución estado nutricional'!G$11)))</f>
        <v>0.859938975637772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x14ac:dyDescent="0.25">
      <c r="B5" s="5" t="s">
        <v>162</v>
      </c>
      <c r="C5" s="90">
        <v>1</v>
      </c>
      <c r="D5" s="90">
        <f>IF(ISBLANK('Distribución estado nutricional'!D$10),0.86,(0.86*'Distribución estado nutricional'!D$10/(1-0.86*'Distribución estado nutricional'!D$10))
/ ('Distribución estado nutricional'!D$10/(1-'Distribución estado nutricional'!D$10)))</f>
        <v>0.85814236316658499</v>
      </c>
      <c r="E5" s="90">
        <f>IF(ISBLANK('Distribución estado nutricional'!E$10),0.86,(0.86*'Distribución estado nutricional'!E$10/(1-0.86*'Distribución estado nutricional'!E$10))
/ ('Distribución estado nutricional'!E$10/(1-'Distribución estado nutricional'!E$10)))</f>
        <v>0.85948545989058289</v>
      </c>
      <c r="F5" s="90">
        <f>IF(ISBLANK('Distribución estado nutricional'!F$10),0.86,(0.86*'Distribución estado nutricional'!F$10/(1-0.86*'Distribución estado nutricional'!F$10))
/ ('Distribución estado nutricional'!F$10/(1-'Distribución estado nutricional'!F$10)))</f>
        <v>0.85767049872590084</v>
      </c>
      <c r="G5" s="90">
        <f>IF(ISBLANK('Distribución estado nutricional'!G$10),0.86,(0.86*'Distribución estado nutricional'!G$10/(1-0.86*'Distribución estado nutricional'!G$10))
/ ('Distribución estado nutricional'!G$10/(1-'Distribución estado nutricional'!G$10)))</f>
        <v>0.8577544750714492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x14ac:dyDescent="0.25">
      <c r="B10" s="11" t="s">
        <v>164</v>
      </c>
      <c r="C10" s="90">
        <f>C3*0.9</f>
        <v>0.9</v>
      </c>
      <c r="D10" s="90">
        <f>D3*0.9</f>
        <v>0.7738030030450993</v>
      </c>
      <c r="E10" s="90" t="e">
        <f>E3*0.9</f>
        <v>#DIV/0!</v>
      </c>
      <c r="F10" s="90">
        <f>F3*0.9</f>
        <v>0.77352314502804054</v>
      </c>
      <c r="G10" s="90">
        <f>G3*0.9</f>
        <v>0.77394507807399482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x14ac:dyDescent="0.25">
      <c r="B12" s="5" t="s">
        <v>162</v>
      </c>
      <c r="C12" s="90">
        <f>C5*0.9</f>
        <v>0.9</v>
      </c>
      <c r="D12" s="90">
        <f>D5*0.9</f>
        <v>0.77232812684992647</v>
      </c>
      <c r="E12" s="90">
        <f>E5*0.9</f>
        <v>0.77353691390152457</v>
      </c>
      <c r="F12" s="90">
        <f>F5*0.9</f>
        <v>0.77190344885331075</v>
      </c>
      <c r="G12" s="90">
        <f>G5*0.9</f>
        <v>0.77197902756430425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x14ac:dyDescent="0.25">
      <c r="B17" s="11" t="s">
        <v>164</v>
      </c>
      <c r="C17" s="90">
        <f>C3*1.05</f>
        <v>1.05</v>
      </c>
      <c r="D17" s="90">
        <f>D3*1.05</f>
        <v>0.90277017021928252</v>
      </c>
      <c r="E17" s="90" t="e">
        <f>E3*1.05</f>
        <v>#DIV/0!</v>
      </c>
      <c r="F17" s="90">
        <f>F3*1.05</f>
        <v>0.90244366919938068</v>
      </c>
      <c r="G17" s="90">
        <f>G3*1.05</f>
        <v>0.90293592441966064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x14ac:dyDescent="0.25">
      <c r="B19" s="5" t="s">
        <v>162</v>
      </c>
      <c r="C19" s="90">
        <f>C5*1.05</f>
        <v>1.05</v>
      </c>
      <c r="D19" s="90">
        <f>D5*1.05</f>
        <v>0.90104948132491425</v>
      </c>
      <c r="E19" s="90">
        <f>E5*1.05</f>
        <v>0.90245973288511205</v>
      </c>
      <c r="F19" s="90">
        <f>F5*1.05</f>
        <v>0.90055402366219595</v>
      </c>
      <c r="G19" s="90">
        <f>G5*1.05</f>
        <v>0.90064219882502172</v>
      </c>
    </row>
  </sheetData>
  <sheetProtection algorithmName="SHA-512" hashValue="wDNEbjY/PLXVWJMLBL9NkkVPWfRmm/fZtNgaIDVvOCC8cAwdMIv/1AvqNtKKCG0hhUVDd8TcnUelP+K0OxD2Lw==" saltValue="wfGLMTkfW6YwlZVZ9MtvK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338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338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338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338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338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338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338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338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204</v>
      </c>
      <c r="B68" s="5" t="s">
        <v>207</v>
      </c>
      <c r="C68" s="5" t="s">
        <v>337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338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338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338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338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338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338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338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102</v>
      </c>
      <c r="C100" s="5" t="s">
        <v>337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338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338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338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6</v>
      </c>
      <c r="C117" s="5" t="s">
        <v>337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338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338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6</v>
      </c>
      <c r="C121" s="5" t="s">
        <v>337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338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338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338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338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338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338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338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338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338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102</v>
      </c>
      <c r="C155" s="5" t="s">
        <v>337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338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IfEabAehz2b/C7P/CPdPJr8deFyJgv25CPNzA8kkpFBIiIXgQxtgGKY516IvifgUuD3x7AFWarvaTSJhbjwpnA==" saltValue="NXjNyGHiPyBqYxGFX/UH8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5">
      <c r="A11" s="3" t="s">
        <v>166</v>
      </c>
      <c r="B11" s="8" t="s">
        <v>86</v>
      </c>
      <c r="C11" s="3" t="s">
        <v>337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189</v>
      </c>
      <c r="B13" s="8" t="s">
        <v>86</v>
      </c>
      <c r="C13" s="3" t="s">
        <v>337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5">
      <c r="A20" s="3" t="s">
        <v>166</v>
      </c>
      <c r="B20" s="8" t="s">
        <v>86</v>
      </c>
      <c r="C20" s="3" t="s">
        <v>337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189</v>
      </c>
      <c r="B22" s="8" t="s">
        <v>86</v>
      </c>
      <c r="C22" s="3" t="s">
        <v>337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188</v>
      </c>
      <c r="B24" s="8" t="s">
        <v>86</v>
      </c>
      <c r="C24" s="3" t="s">
        <v>337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x59u9RTRjxRaoDRHYa0CRB9Sbhh19XNe8ZATZ+AKUr4FaAgRy04l7WADVkpM1sVY2bSUvmAHVzNtgGF34R0lYg==" saltValue="voah2nXk/3RSWxyL2egn0g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2024-03-15T02:01:37Z</dcterms:modified>
</cp:coreProperties>
</file>