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D5699450-B2F6-4CC2-9077-87DFB5B87422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F17" i="26"/>
  <c r="C17" i="26"/>
  <c r="C12" i="26"/>
  <c r="C10" i="26"/>
  <c r="G5" i="26"/>
  <c r="G19" i="26" s="1"/>
  <c r="F5" i="26"/>
  <c r="F19" i="26" s="1"/>
  <c r="E5" i="26"/>
  <c r="E19" i="26" s="1"/>
  <c r="D5" i="26"/>
  <c r="D12" i="26" s="1"/>
  <c r="G3" i="26"/>
  <c r="G17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H11" i="2"/>
  <c r="G11" i="2"/>
  <c r="I11" i="2" s="1"/>
  <c r="H10" i="2"/>
  <c r="G10" i="2"/>
  <c r="H9" i="2"/>
  <c r="G9" i="2"/>
  <c r="H8" i="2"/>
  <c r="G8" i="2"/>
  <c r="I8" i="2" s="1"/>
  <c r="H7" i="2"/>
  <c r="G7" i="2"/>
  <c r="I7" i="2" s="1"/>
  <c r="H6" i="2"/>
  <c r="G6" i="2"/>
  <c r="H5" i="2"/>
  <c r="G5" i="2"/>
  <c r="H4" i="2"/>
  <c r="G4" i="2"/>
  <c r="I4" i="2" s="1"/>
  <c r="H3" i="2"/>
  <c r="G3" i="2"/>
  <c r="I3" i="2" s="1"/>
  <c r="H2" i="2"/>
  <c r="G2" i="2"/>
  <c r="A2" i="2"/>
  <c r="A35" i="2" s="1"/>
  <c r="C33" i="1"/>
  <c r="C20" i="1"/>
  <c r="D19" i="26" l="1"/>
  <c r="I5" i="2"/>
  <c r="I9" i="2"/>
  <c r="E12" i="26"/>
  <c r="I2" i="2"/>
  <c r="I6" i="2"/>
  <c r="I10" i="2"/>
  <c r="F12" i="26"/>
  <c r="A14" i="2"/>
  <c r="A22" i="2"/>
  <c r="A30" i="2"/>
  <c r="A38" i="2"/>
  <c r="A40" i="2"/>
  <c r="D10" i="26"/>
  <c r="G12" i="26"/>
  <c r="A12" i="2"/>
  <c r="A36" i="2"/>
  <c r="A21" i="2"/>
  <c r="A15" i="2"/>
  <c r="A23" i="2"/>
  <c r="A31" i="2"/>
  <c r="E10" i="26"/>
  <c r="A13" i="2"/>
  <c r="A29" i="2"/>
  <c r="A37" i="2"/>
  <c r="A16" i="2"/>
  <c r="A3" i="2"/>
  <c r="A4" i="2" s="1"/>
  <c r="A5" i="2" s="1"/>
  <c r="A6" i="2" s="1"/>
  <c r="A7" i="2" s="1"/>
  <c r="A8" i="2" s="1"/>
  <c r="A9" i="2" s="1"/>
  <c r="A10" i="2" s="1"/>
  <c r="A11" i="2" s="1"/>
  <c r="A24" i="2"/>
  <c r="A32" i="2"/>
  <c r="A17" i="2"/>
  <c r="A25" i="2"/>
  <c r="A33" i="2"/>
  <c r="G10" i="26"/>
  <c r="A28" i="2"/>
  <c r="A34" i="2"/>
  <c r="A20" i="2"/>
  <c r="A18" i="2"/>
  <c r="A26" i="2"/>
  <c r="A39" i="2"/>
  <c r="A19" i="2"/>
  <c r="A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<sst xmlns="http://schemas.openxmlformats.org/spreadsheetml/2006/main" count="2092" uniqueCount="341">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</sst>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3646648.125</v>
      </c>
    </row>
    <row r="8" spans="1:3" ht="15" customHeight="1" x14ac:dyDescent="0.25">
      <c r="B8" s="5" t="s">
        <v>44</v>
      </c>
      <c r="C8" s="44">
        <v>4.0999999999999988E-2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0.81589927673339802</v>
      </c>
    </row>
    <row r="11" spans="1:3" ht="15" customHeight="1" x14ac:dyDescent="0.25">
      <c r="B11" s="5" t="s">
        <v>49</v>
      </c>
      <c r="C11" s="45">
        <v>0.89900000000000002</v>
      </c>
    </row>
    <row r="12" spans="1:3" ht="15" customHeight="1" x14ac:dyDescent="0.25">
      <c r="B12" s="5" t="s">
        <v>41</v>
      </c>
      <c r="C12" s="45">
        <v>0.64200000000000002</v>
      </c>
    </row>
    <row r="13" spans="1:3" ht="15" customHeight="1" x14ac:dyDescent="0.25">
      <c r="B13" s="5" t="s">
        <v>62</v>
      </c>
      <c r="C13" s="45">
        <v>0.13500000000000001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0.14069999999999999</v>
      </c>
    </row>
    <row r="24" spans="1:3" ht="15" customHeight="1" x14ac:dyDescent="0.25">
      <c r="B24" s="15" t="s">
        <v>46</v>
      </c>
      <c r="C24" s="45">
        <v>0.54339999999999999</v>
      </c>
    </row>
    <row r="25" spans="1:3" ht="15" customHeight="1" x14ac:dyDescent="0.25">
      <c r="B25" s="15" t="s">
        <v>47</v>
      </c>
      <c r="C25" s="45">
        <v>0.26979999999999998</v>
      </c>
    </row>
    <row r="26" spans="1:3" ht="15" customHeight="1" x14ac:dyDescent="0.25">
      <c r="B26" s="15" t="s">
        <v>48</v>
      </c>
      <c r="C26" s="45">
        <v>4.6100000000000002E-2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0.43013027412580801</v>
      </c>
    </row>
    <row r="30" spans="1:3" ht="14.25" customHeight="1" x14ac:dyDescent="0.25">
      <c r="B30" s="25" t="s">
        <v>63</v>
      </c>
      <c r="C30" s="99">
        <v>3.6306215722178403E-2</v>
      </c>
    </row>
    <row r="31" spans="1:3" ht="14.25" customHeight="1" x14ac:dyDescent="0.25">
      <c r="B31" s="25" t="s">
        <v>10</v>
      </c>
      <c r="C31" s="99">
        <v>5.3639561623218403E-2</v>
      </c>
    </row>
    <row r="32" spans="1:3" ht="14.25" customHeight="1" x14ac:dyDescent="0.25">
      <c r="B32" s="25" t="s">
        <v>11</v>
      </c>
      <c r="C32" s="99">
        <v>0.479923948528795</v>
      </c>
    </row>
    <row r="33" spans="1:5" ht="13" customHeight="1" x14ac:dyDescent="0.25">
      <c r="B33" s="27" t="s">
        <v>60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7.4836283522504896</v>
      </c>
    </row>
    <row r="38" spans="1:5" ht="15" customHeight="1" x14ac:dyDescent="0.25">
      <c r="B38" s="11" t="s">
        <v>35</v>
      </c>
      <c r="C38" s="43">
        <v>11.8379662044805</v>
      </c>
      <c r="D38" s="12"/>
      <c r="E38" s="13"/>
    </row>
    <row r="39" spans="1:5" ht="15" customHeight="1" x14ac:dyDescent="0.25">
      <c r="B39" s="11" t="s">
        <v>61</v>
      </c>
      <c r="C39" s="43">
        <v>13.752420204703499</v>
      </c>
      <c r="D39" s="12"/>
      <c r="E39" s="12"/>
    </row>
    <row r="40" spans="1:5" ht="15" customHeight="1" x14ac:dyDescent="0.25">
      <c r="B40" s="11" t="s">
        <v>36</v>
      </c>
      <c r="C40" s="100">
        <v>0.83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7.0983552809999999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8.1300000000000001E-3</v>
      </c>
      <c r="D45" s="12"/>
    </row>
    <row r="46" spans="1:5" ht="15.75" customHeight="1" x14ac:dyDescent="0.25">
      <c r="B46" s="11" t="s">
        <v>51</v>
      </c>
      <c r="C46" s="45">
        <v>8.1670300000000001E-2</v>
      </c>
      <c r="D46" s="12"/>
    </row>
    <row r="47" spans="1:5" ht="15.75" customHeight="1" x14ac:dyDescent="0.25">
      <c r="B47" s="11" t="s">
        <v>59</v>
      </c>
      <c r="C47" s="45">
        <v>5.7686599999999998E-2</v>
      </c>
      <c r="D47" s="12"/>
      <c r="E47" s="13"/>
    </row>
    <row r="48" spans="1:5" ht="15" customHeight="1" x14ac:dyDescent="0.25">
      <c r="B48" s="11" t="s">
        <v>58</v>
      </c>
      <c r="C48" s="46">
        <v>0.85251310000000002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3.2</v>
      </c>
      <c r="D51" s="12"/>
    </row>
    <row r="52" spans="1:4" ht="15" customHeight="1" x14ac:dyDescent="0.25">
      <c r="B52" s="11" t="s">
        <v>13</v>
      </c>
      <c r="C52" s="100">
        <v>3.2</v>
      </c>
    </row>
    <row r="53" spans="1:4" ht="15.75" customHeight="1" x14ac:dyDescent="0.25">
      <c r="B53" s="11" t="s">
        <v>16</v>
      </c>
      <c r="C53" s="100">
        <v>3.2</v>
      </c>
    </row>
    <row r="54" spans="1:4" ht="15.75" customHeight="1" x14ac:dyDescent="0.25">
      <c r="B54" s="11" t="s">
        <v>14</v>
      </c>
      <c r="C54" s="100">
        <v>3.2</v>
      </c>
    </row>
    <row r="55" spans="1:4" ht="15.75" customHeight="1" x14ac:dyDescent="0.25">
      <c r="B55" s="11" t="s">
        <v>15</v>
      </c>
      <c r="C55" s="100">
        <v>3.2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1.9375E-2</v>
      </c>
    </row>
    <row r="59" spans="1:4" ht="15.75" customHeight="1" x14ac:dyDescent="0.25">
      <c r="B59" s="11" t="s">
        <v>40</v>
      </c>
      <c r="C59" s="45">
        <v>0.55688800000000005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9.9555930999999903E-2</v>
      </c>
    </row>
    <row r="63" spans="1:4" ht="15.75" customHeight="1" x14ac:dyDescent="0.3">
      <c r="A63" s="4"/>
    </row>
  </sheetData>
  <sheetProtection algorithmName="SHA-512" hashValue="9Ef5BOhc8kHLmmK+jNTDbKBSLFC2FV5W6zCQbBx/KC3AaYryLRt2HyfY0EJpm/cIO5K2BCPkA5bO/WSP2L8fzA==" saltValue="wHs2Mxiiy/lE30d5mYBG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0.29743720791820799</v>
      </c>
      <c r="C2" s="98">
        <v>0.95</v>
      </c>
      <c r="D2" s="56">
        <v>68.627832027235911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40.117680990539711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580.56053854484037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1.365047757601507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13.249980434335621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13.249980434335621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13.249980434335621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13.249980434335621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13.249980434335621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13.249980434335621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0.51533240742773601</v>
      </c>
      <c r="C16" s="98">
        <v>0.95</v>
      </c>
      <c r="D16" s="56">
        <v>0.95674623423097094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13.33399039011101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13.33399039011101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0.14358210563659701</v>
      </c>
      <c r="C21" s="98">
        <v>0.95</v>
      </c>
      <c r="D21" s="56">
        <v>15.80934844874062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22.98991880771591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4.4279632813135006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0.76610653007503804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0.26385272321903303</v>
      </c>
      <c r="C27" s="98">
        <v>0.95</v>
      </c>
      <c r="D27" s="56">
        <v>18.81234237281155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0.54084730000000003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137.83733365130871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8.9999999999999998E-4</v>
      </c>
      <c r="C31" s="98">
        <v>0.95</v>
      </c>
      <c r="D31" s="56">
        <v>0.18877550177691579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0.40198139999999999</v>
      </c>
      <c r="C32" s="98">
        <v>0.95</v>
      </c>
      <c r="D32" s="56">
        <v>2.078736971030839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0.89625357756716195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4.5834601320961594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0.61478450000000007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EgWETHkmBbHZcLZQUrwTZaS3d0aWVOjynRayW+eIkUFkIAkV4xJhEh1uzW+ilpj77u7V6OBrAF7cG9kmroMW4A==" saltValue="5cIbucJZn20o8uutzFjAp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KYH23ap/P9MIDqU1C9tndAmzLEsaQkhJR/hPre2Xe6xsR6fAz1D6ABUgxy4gA1dJ4CqTH69NWWneA9Wm7aUXAg==" saltValue="vLEjJb+w7zxkwRGxZ9GtP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yVpxZjcVYoy5Pc5z/rDk98qM/FY64MTAwVoY5LwdkCgFnoC03Pr1/dL3nRiJ2Tgv1xkwXN/aFCR1xLSRLQs0zA==" saltValue="OHBruti6HI1ysulHB5jqp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6</v>
      </c>
      <c r="B3" s="21">
        <f>frac_mam_1month * 2.6</f>
        <v>3.8162270933389718E-2</v>
      </c>
      <c r="C3" s="21">
        <f>frac_mam_1_5months * 2.6</f>
        <v>3.8162270933389718E-2</v>
      </c>
      <c r="D3" s="21">
        <f>frac_mam_6_11months * 2.6</f>
        <v>2.8105232119560179E-2</v>
      </c>
      <c r="E3" s="21">
        <f>frac_mam_12_23months * 2.6</f>
        <v>1.8424075655639163E-2</v>
      </c>
      <c r="F3" s="21">
        <f>frac_mam_24_59months * 2.6</f>
        <v>1.5103981737047426E-2</v>
      </c>
    </row>
    <row r="4" spans="1:6" ht="15.75" customHeight="1" x14ac:dyDescent="0.25">
      <c r="A4" s="3" t="s">
        <v>207</v>
      </c>
      <c r="B4" s="21">
        <f>frac_sam_1month * 2.6</f>
        <v>2.0188674889504918E-2</v>
      </c>
      <c r="C4" s="21">
        <f>frac_sam_1_5months * 2.6</f>
        <v>2.0188674889504918E-2</v>
      </c>
      <c r="D4" s="21">
        <f>frac_sam_6_11months * 2.6</f>
        <v>1.5748055069707324E-3</v>
      </c>
      <c r="E4" s="21">
        <f>frac_sam_12_23months * 2.6</f>
        <v>2.8016082011163221E-3</v>
      </c>
      <c r="F4" s="21">
        <f>frac_sam_24_59months * 2.6</f>
        <v>2.0865562953986216E-3</v>
      </c>
    </row>
  </sheetData>
  <sheetProtection algorithmName="SHA-512" hashValue="ZWZJ7Pw77z0ol1MeN/yOk+9hoo6NdkJaqb5jZlhaJKNTUsa4jIeWHF7mKf2VvUtzMFyJDPEzPoJo/UBoLl/Stg==" saltValue="yhK56wp0HZM5mMalWaakb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4.0999999999999988E-2</v>
      </c>
      <c r="E2" s="60">
        <f>food_insecure</f>
        <v>4.0999999999999988E-2</v>
      </c>
      <c r="F2" s="60">
        <f>food_insecure</f>
        <v>4.0999999999999988E-2</v>
      </c>
      <c r="G2" s="60">
        <f>food_insecure</f>
        <v>4.0999999999999988E-2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4.0999999999999988E-2</v>
      </c>
      <c r="F5" s="60">
        <f>food_insecure</f>
        <v>4.0999999999999988E-2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4.0999999999999988E-2</v>
      </c>
      <c r="F8" s="60">
        <f>food_insecure</f>
        <v>4.0999999999999988E-2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4.0999999999999988E-2</v>
      </c>
      <c r="F9" s="60">
        <f>food_insecure</f>
        <v>4.0999999999999988E-2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0.64200000000000002</v>
      </c>
      <c r="E10" s="60">
        <f>IF(ISBLANK(comm_deliv), frac_children_health_facility,1)</f>
        <v>0.64200000000000002</v>
      </c>
      <c r="F10" s="60">
        <f>IF(ISBLANK(comm_deliv), frac_children_health_facility,1)</f>
        <v>0.64200000000000002</v>
      </c>
      <c r="G10" s="60">
        <f>IF(ISBLANK(comm_deliv), frac_children_health_facility,1)</f>
        <v>0.64200000000000002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4.0999999999999988E-2</v>
      </c>
      <c r="I15" s="60">
        <f>food_insecure</f>
        <v>4.0999999999999988E-2</v>
      </c>
      <c r="J15" s="60">
        <f>food_insecure</f>
        <v>4.0999999999999988E-2</v>
      </c>
      <c r="K15" s="60">
        <f>food_insecure</f>
        <v>4.0999999999999988E-2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0.89900000000000002</v>
      </c>
      <c r="I18" s="60">
        <f>frac_PW_health_facility</f>
        <v>0.89900000000000002</v>
      </c>
      <c r="J18" s="60">
        <f>frac_PW_health_facility</f>
        <v>0.89900000000000002</v>
      </c>
      <c r="K18" s="60">
        <f>frac_PW_health_facility</f>
        <v>0.89900000000000002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0.13500000000000001</v>
      </c>
      <c r="M24" s="60">
        <f>famplan_unmet_need</f>
        <v>0.13500000000000001</v>
      </c>
      <c r="N24" s="60">
        <f>famplan_unmet_need</f>
        <v>0.13500000000000001</v>
      </c>
      <c r="O24" s="60">
        <f>famplan_unmet_need</f>
        <v>0.13500000000000001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9.1794461627960414E-2</v>
      </c>
      <c r="M25" s="60">
        <f>(1-food_insecure)*(0.49)+food_insecure*(0.7)</f>
        <v>0.49861</v>
      </c>
      <c r="N25" s="60">
        <f>(1-food_insecure)*(0.49)+food_insecure*(0.7)</f>
        <v>0.49861</v>
      </c>
      <c r="O25" s="60">
        <f>(1-food_insecure)*(0.49)+food_insecure*(0.7)</f>
        <v>0.49861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3.9340483554840169E-2</v>
      </c>
      <c r="M26" s="60">
        <f>(1-food_insecure)*(0.21)+food_insecure*(0.3)</f>
        <v>0.21368999999999999</v>
      </c>
      <c r="N26" s="60">
        <f>(1-food_insecure)*(0.21)+food_insecure*(0.3)</f>
        <v>0.21368999999999999</v>
      </c>
      <c r="O26" s="60">
        <f>(1-food_insecure)*(0.21)+food_insecure*(0.3)</f>
        <v>0.21368999999999999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5.2965778083801381E-2</v>
      </c>
      <c r="M27" s="60">
        <f>(1-food_insecure)*(0.3)</f>
        <v>0.28769999999999996</v>
      </c>
      <c r="N27" s="60">
        <f>(1-food_insecure)*(0.3)</f>
        <v>0.28769999999999996</v>
      </c>
      <c r="O27" s="60">
        <f>(1-food_insecure)*(0.3)</f>
        <v>0.28769999999999996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0.81589927673339802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puO6nx4AxSqjiZ66Tc1Oehqwm61BTdiEKdmX+ztwN9uTctiPdP8IFe+GfxGX6z8+D+Aro8ltdcZ8ZV4+9hgIkg==" saltValue="J/JNl8fVdKZvZIaCQ34zc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NS5WXuYMLtRN63ClYNhZ0WO+ty75Mlm4KtMTOZVxoU55KhOKlTKS5sXZ74zcjLm5mOKuMr5eTK1MgoPUmvNW6g==" saltValue="RtLcElvU2bAgVQYHR7bpz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BPtXOJyQUhG+nLCehSGgEM1Bz0zPuAWbt6bQBUiiZnFXDdcKE3a+sfWSxOOAvkGgIwF9gI4iPM5Dd9NpiGAc8g==" saltValue="S5qtLiBcYzqhAnyYAkaFi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Ikz/y7ywv2v5X3R/d+DQ6vAimCKf//mwFLJoHRgu9UhL5schmSLdEylAsrKAFqy2DZTBsnDK5aeoWBaRJlGCw==" saltValue="Xo7QBlCDDEcGqV3m+NEV/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5iCum09vXWgwbFWIDrsxJ9xcgOIX+yMay5j+3eWHBmos63vZ4EY/DvpaNbp8vbjphqQSJfyzaQhIVMAklgRMlg==" saltValue="FDwD2LyLe4OJGtAhRB0pO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cstqqQGcomGBguQWW5xlr4e5zUg5hHBhgsV2EMKE3VExu/bOaRPWyvYut7329LNxccN74ArGayVhV7Sv3xG5qw==" saltValue="opo/9F/F2LtgHb3IimOYp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703734.69439999992</v>
      </c>
      <c r="C2" s="49">
        <v>1969000</v>
      </c>
      <c r="D2" s="49">
        <v>4013000</v>
      </c>
      <c r="E2" s="49">
        <v>4016000</v>
      </c>
      <c r="F2" s="49">
        <v>3458000</v>
      </c>
      <c r="G2" s="17">
        <f t="shared" ref="G2:G11" si="0">C2+D2+E2+F2</f>
        <v>13456000</v>
      </c>
      <c r="H2" s="17">
        <f t="shared" ref="H2:H11" si="1">(B2 + stillbirth*B2/(1000-stillbirth))/(1-abortion)</f>
        <v>805415.64274471323</v>
      </c>
      <c r="I2" s="17">
        <f t="shared" ref="I2:I11" si="2">G2-H2</f>
        <v>12650584.357255287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696941.71259999997</v>
      </c>
      <c r="C3" s="50">
        <v>1953000</v>
      </c>
      <c r="D3" s="50">
        <v>3991000</v>
      </c>
      <c r="E3" s="50">
        <v>4032000</v>
      </c>
      <c r="F3" s="50">
        <v>3525000</v>
      </c>
      <c r="G3" s="17">
        <f t="shared" si="0"/>
        <v>13501000</v>
      </c>
      <c r="H3" s="17">
        <f t="shared" si="1"/>
        <v>797641.15919837507</v>
      </c>
      <c r="I3" s="17">
        <f t="shared" si="2"/>
        <v>12703358.840801625</v>
      </c>
    </row>
    <row r="4" spans="1:9" ht="15.75" customHeight="1" x14ac:dyDescent="0.25">
      <c r="A4" s="5">
        <f t="shared" si="3"/>
        <v>2023</v>
      </c>
      <c r="B4" s="49">
        <v>689805.73280000011</v>
      </c>
      <c r="C4" s="50">
        <v>1933000</v>
      </c>
      <c r="D4" s="50">
        <v>3970000</v>
      </c>
      <c r="E4" s="50">
        <v>4043000</v>
      </c>
      <c r="F4" s="50">
        <v>3598000</v>
      </c>
      <c r="G4" s="17">
        <f t="shared" si="0"/>
        <v>13544000</v>
      </c>
      <c r="H4" s="17">
        <f t="shared" si="1"/>
        <v>789474.11868869781</v>
      </c>
      <c r="I4" s="17">
        <f t="shared" si="2"/>
        <v>12754525.881311303</v>
      </c>
    </row>
    <row r="5" spans="1:9" ht="15.75" customHeight="1" x14ac:dyDescent="0.25">
      <c r="A5" s="5">
        <f t="shared" si="3"/>
        <v>2024</v>
      </c>
      <c r="B5" s="49">
        <v>682323.03760000016</v>
      </c>
      <c r="C5" s="50">
        <v>1912000</v>
      </c>
      <c r="D5" s="50">
        <v>3948000</v>
      </c>
      <c r="E5" s="50">
        <v>4046000</v>
      </c>
      <c r="F5" s="50">
        <v>3668000</v>
      </c>
      <c r="G5" s="17">
        <f t="shared" si="0"/>
        <v>13574000</v>
      </c>
      <c r="H5" s="17">
        <f t="shared" si="1"/>
        <v>780910.26669741713</v>
      </c>
      <c r="I5" s="17">
        <f t="shared" si="2"/>
        <v>12793089.733302582</v>
      </c>
    </row>
    <row r="6" spans="1:9" ht="15.75" customHeight="1" x14ac:dyDescent="0.25">
      <c r="A6" s="5">
        <f t="shared" si="3"/>
        <v>2025</v>
      </c>
      <c r="B6" s="49">
        <v>674516.83200000005</v>
      </c>
      <c r="C6" s="50">
        <v>1892000</v>
      </c>
      <c r="D6" s="50">
        <v>3926000</v>
      </c>
      <c r="E6" s="50">
        <v>4042000</v>
      </c>
      <c r="F6" s="50">
        <v>3729000</v>
      </c>
      <c r="G6" s="17">
        <f t="shared" si="0"/>
        <v>13589000</v>
      </c>
      <c r="H6" s="17">
        <f t="shared" si="1"/>
        <v>771976.1610596641</v>
      </c>
      <c r="I6" s="17">
        <f t="shared" si="2"/>
        <v>12817023.838940335</v>
      </c>
    </row>
    <row r="7" spans="1:9" ht="15.75" customHeight="1" x14ac:dyDescent="0.25">
      <c r="A7" s="5">
        <f t="shared" si="3"/>
        <v>2026</v>
      </c>
      <c r="B7" s="49">
        <v>668985.08120000002</v>
      </c>
      <c r="C7" s="50">
        <v>1873000</v>
      </c>
      <c r="D7" s="50">
        <v>3907000</v>
      </c>
      <c r="E7" s="50">
        <v>4036000</v>
      </c>
      <c r="F7" s="50">
        <v>3783000</v>
      </c>
      <c r="G7" s="17">
        <f t="shared" si="0"/>
        <v>13599000</v>
      </c>
      <c r="H7" s="17">
        <f t="shared" si="1"/>
        <v>765645.14077383862</v>
      </c>
      <c r="I7" s="17">
        <f t="shared" si="2"/>
        <v>12833354.859226162</v>
      </c>
    </row>
    <row r="8" spans="1:9" ht="15.75" customHeight="1" x14ac:dyDescent="0.25">
      <c r="A8" s="5">
        <f t="shared" si="3"/>
        <v>2027</v>
      </c>
      <c r="B8" s="49">
        <v>663162.52240000013</v>
      </c>
      <c r="C8" s="50">
        <v>1854000</v>
      </c>
      <c r="D8" s="50">
        <v>3890000</v>
      </c>
      <c r="E8" s="50">
        <v>4023000</v>
      </c>
      <c r="F8" s="50">
        <v>3827000</v>
      </c>
      <c r="G8" s="17">
        <f t="shared" si="0"/>
        <v>13594000</v>
      </c>
      <c r="H8" s="17">
        <f t="shared" si="1"/>
        <v>758981.2943333569</v>
      </c>
      <c r="I8" s="17">
        <f t="shared" si="2"/>
        <v>12835018.705666643</v>
      </c>
    </row>
    <row r="9" spans="1:9" ht="15.75" customHeight="1" x14ac:dyDescent="0.25">
      <c r="A9" s="5">
        <f t="shared" si="3"/>
        <v>2028</v>
      </c>
      <c r="B9" s="49">
        <v>657069.60600000015</v>
      </c>
      <c r="C9" s="50">
        <v>1836000</v>
      </c>
      <c r="D9" s="50">
        <v>3871000</v>
      </c>
      <c r="E9" s="50">
        <v>4005000</v>
      </c>
      <c r="F9" s="50">
        <v>3864000</v>
      </c>
      <c r="G9" s="17">
        <f t="shared" si="0"/>
        <v>13576000</v>
      </c>
      <c r="H9" s="17">
        <f t="shared" si="1"/>
        <v>752008.02696776297</v>
      </c>
      <c r="I9" s="17">
        <f t="shared" si="2"/>
        <v>12823991.973032236</v>
      </c>
    </row>
    <row r="10" spans="1:9" ht="15.75" customHeight="1" x14ac:dyDescent="0.25">
      <c r="A10" s="5">
        <f t="shared" si="3"/>
        <v>2029</v>
      </c>
      <c r="B10" s="49">
        <v>650713.77440000011</v>
      </c>
      <c r="C10" s="50">
        <v>1818000</v>
      </c>
      <c r="D10" s="50">
        <v>3850000</v>
      </c>
      <c r="E10" s="50">
        <v>3984000</v>
      </c>
      <c r="F10" s="50">
        <v>3894000</v>
      </c>
      <c r="G10" s="17">
        <f t="shared" si="0"/>
        <v>13546000</v>
      </c>
      <c r="H10" s="17">
        <f t="shared" si="1"/>
        <v>744733.85641169047</v>
      </c>
      <c r="I10" s="17">
        <f t="shared" si="2"/>
        <v>12801266.14358831</v>
      </c>
    </row>
    <row r="11" spans="1:9" ht="15.75" customHeight="1" x14ac:dyDescent="0.25">
      <c r="A11" s="5">
        <f t="shared" si="3"/>
        <v>2030</v>
      </c>
      <c r="B11" s="49">
        <v>644090.348</v>
      </c>
      <c r="C11" s="50">
        <v>1800000</v>
      </c>
      <c r="D11" s="50">
        <v>3822000</v>
      </c>
      <c r="E11" s="50">
        <v>3962000</v>
      </c>
      <c r="F11" s="50">
        <v>3919000</v>
      </c>
      <c r="G11" s="17">
        <f t="shared" si="0"/>
        <v>13503000</v>
      </c>
      <c r="H11" s="17">
        <f t="shared" si="1"/>
        <v>737153.42692089116</v>
      </c>
      <c r="I11" s="17">
        <f t="shared" si="2"/>
        <v>12765846.573079109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H7liA+V7qNU2uxAyY6euBLlbxd2hyy/ObHXWTVtpaHHo6oX+81DVDWePXF0zAOzUyCfHAxzHNKkUGEjhpQL75w==" saltValue="r8e2G5bk/eCidpH776yDd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2.5270068426680448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2.5270068426680448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1.9364257232132913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1.9364257232132913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2.0089152353342441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2.0089152353342441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1.6187098528373534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1.6187098528373534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3.0996344086685617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3.0996344086685617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2.2875853694182755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2.2875853694182755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Tqc6NsMRh/vkaWGDYvZfbPFn8lq5pKwva1fniNWs2i+XWrN9a4I5sKsG5tVbNeaJaGGMFOTiv6BNrcFQ7qto1Q==" saltValue="q/xRFcrx8Qi6SeJAl9fcI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TSjGfp0eN5FeOUk/b6J1Uxk8UeQ7RoesAokD0RLivvMHmNF1BGJQhFKCEqZzbx2UmfmR0C+A80qD9Zcz7CDRng==" saltValue="2CMQuczYmfOYiLlO/yH//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GShEaFMNoIoz33WWjf0F8jk4q4gBCvdEFABygpqm7D+0j/UBKnVeisi2Ds0NZAIEYFB67Ph3WC1n+ZkoBvrtuA==" saltValue="tLT5f9C27oAFdYOFmjY0h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0.61634648493429478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0.61634648493429478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0.86888494078167999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0.86888494078167999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0.86888494078167999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0.86888494078167999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0.41521282402722176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0.41521282402722176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0.83662207238063868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0.83662207238063868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0.83662207238063868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0.83662207238063868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0.91222038642907388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0.91222038642907388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0.90135220670437455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0.90135220670437455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0.90135220670437455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0.90135220670437455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AtyU4zxGkoEueO+lPPRe+MYktmKMo8TjebWksYFKXZZDJ1bkcHj8eNckaYiTjsCNVPE093APf3XAN0r+QXEt4w==" saltValue="fECZ+POE+a0DVBhdz2bp1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MLn7ppQq0LQfFPkwjfdrqFS9FLJjtXmDntEvKp0Ikukq7i9CbCEsjhyTZ3NOtruTAfQl1sGu9W07yna5F0K4g==" saltValue="TZuSz6sZK4tOxYmn+nRQP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0.63809404185511687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0.69838864356453323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0.69838864356453323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0.6518105849582172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0.6518105849582172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0.6518105849582172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0.6518105849582172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0.67040210942649958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0.67040210942649958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0.67040210942649958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0.67040210942649958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0.73281148574354271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0.78269976411305386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0.78269976411305386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0.7443762781186094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0.7443762781186094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0.7443762781186094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0.7443762781186094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0.75984630163304523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0.75984630163304523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0.75984630163304523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0.75984630163304523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0.44595751566586911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0.51387581008823824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0.51387581008823824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0.46080270067516876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0.46080270067516876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0.46080270067516876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0.46080270067516876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0.48147981152918373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0.48147981152918373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0.48147981152918373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0.48147981152918373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0.61536897073604924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0.67753633211914865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0.67753633211914865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0.62944664031620556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0.62944664031620556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0.62944664031620556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0.62944664031620556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0.64858849713013933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0.64858849713013933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0.64858849713013933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0.64858849713013933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0.95684067366012782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0.96679459952725277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0.96679459952725277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0.95924798956748525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0.95924798956748525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0.95924798956748525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0.95924798956748525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0.96237159306132181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0.96237159306132181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0.96237159306132181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0.96237159306132181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0.8874532053602906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0.91193727622460052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0.91193727622460052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0.89329918907383687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0.89329918907383687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0.89329918907383687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0.89329918907383687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0.90095577675432093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0.90095577675432093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0.90095577675432093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0.90095577675432093</v>
      </c>
    </row>
  </sheetData>
  <sheetProtection algorithmName="SHA-512" hashValue="xAq3f2olXRnEKOoND8jU4hkSPLvzgDnSeqo19KOCUmPyCv02rjNByzuFATR1k2rv0eUqqWtVDuRl9pVr76/z4Q==" saltValue="qosRmpGFYedD9M3se0hs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0.85905882407763567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0.85992703638459533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0.85987014365342473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0.8599033096604517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0.85821020083502342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0.85868629893915738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0.85914159233646448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0.85929705760841579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0.77315294166987214</v>
      </c>
      <c r="E10" s="90">
        <f>E3*0.9</f>
        <v>0.77393433274613577</v>
      </c>
      <c r="F10" s="90">
        <f>F3*0.9</f>
        <v>0.77388312928808223</v>
      </c>
      <c r="G10" s="90">
        <f>G3*0.9</f>
        <v>0.77391297869440656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0.77238918075152108</v>
      </c>
      <c r="E12" s="90">
        <f>E5*0.9</f>
        <v>0.77281766904524163</v>
      </c>
      <c r="F12" s="90">
        <f>F5*0.9</f>
        <v>0.77322743310281805</v>
      </c>
      <c r="G12" s="90">
        <f>G5*0.9</f>
        <v>0.77336735184757421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0.9020117652815175</v>
      </c>
      <c r="E17" s="90">
        <f>E3*1.05</f>
        <v>0.90292338820382512</v>
      </c>
      <c r="F17" s="90">
        <f>F3*1.05</f>
        <v>0.90286365083609599</v>
      </c>
      <c r="G17" s="90">
        <f>G3*1.05</f>
        <v>0.90289847514347432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0.90112071087677459</v>
      </c>
      <c r="E19" s="90">
        <f>E5*1.05</f>
        <v>0.90162061388611525</v>
      </c>
      <c r="F19" s="90">
        <f>F5*1.05</f>
        <v>0.90209867195328775</v>
      </c>
      <c r="G19" s="90">
        <f>G5*1.05</f>
        <v>0.90226191048883664</v>
      </c>
    </row>
  </sheetData>
  <sheetProtection algorithmName="SHA-512" hashValue="VzVwzftcBJFwWxZuJS43tsAa3cT7O/utU9+EEBdhf5otTaHt3aLtwF/18pCBNcDSjp1UppJkBvFfzX/gTrYdgQ==" saltValue="MNkfWW3A+VG/5GgzJg1tF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S5aPF16R9zbjQQpyid2pJARrDy5nu3zta7tHLG+KrJXtK/VjH9TA1Ccidvi4F9kokpCg9l+/6nkmM1G9aqRnA==" saltValue="KT+hZHNzsFNm1ofin7M4Z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TAgnY92diCZgNEoneYnd6Q7AYgxk4ZxmHeWPw02MH+cDBCged6bEsoIYqHEAnf00r/qhHsDrkQbBffJpdNy68g==" saltValue="2lO2P0Tr+Uw1xihkzD7h0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0.1528971960245922</v>
      </c>
    </row>
    <row r="5" spans="1:8" ht="15.75" customHeight="1" x14ac:dyDescent="0.25">
      <c r="B5" s="19" t="s">
        <v>95</v>
      </c>
      <c r="C5" s="101">
        <v>3.8847353091202422E-2</v>
      </c>
    </row>
    <row r="6" spans="1:8" ht="15.75" customHeight="1" x14ac:dyDescent="0.25">
      <c r="B6" s="19" t="s">
        <v>91</v>
      </c>
      <c r="C6" s="101">
        <v>8.7395434232934791E-2</v>
      </c>
    </row>
    <row r="7" spans="1:8" ht="15.75" customHeight="1" x14ac:dyDescent="0.25">
      <c r="B7" s="19" t="s">
        <v>96</v>
      </c>
      <c r="C7" s="101">
        <v>0.34129068082088049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0.27277045451811133</v>
      </c>
    </row>
    <row r="10" spans="1:8" ht="15.75" customHeight="1" x14ac:dyDescent="0.25">
      <c r="B10" s="19" t="s">
        <v>94</v>
      </c>
      <c r="C10" s="101">
        <v>0.1067988813122787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3.6451992241118801E-2</v>
      </c>
      <c r="D14" s="55">
        <v>3.6451992241118801E-2</v>
      </c>
      <c r="E14" s="55">
        <v>3.6451992241118801E-2</v>
      </c>
      <c r="F14" s="55">
        <v>3.6451992241118801E-2</v>
      </c>
    </row>
    <row r="15" spans="1:8" ht="15.75" customHeight="1" x14ac:dyDescent="0.25">
      <c r="B15" s="19" t="s">
        <v>102</v>
      </c>
      <c r="C15" s="101">
        <v>0.15922017893535059</v>
      </c>
      <c r="D15" s="101">
        <v>0.15922017893535059</v>
      </c>
      <c r="E15" s="101">
        <v>0.15922017893535059</v>
      </c>
      <c r="F15" s="101">
        <v>0.15922017893535059</v>
      </c>
    </row>
    <row r="16" spans="1:8" ht="15.75" customHeight="1" x14ac:dyDescent="0.25">
      <c r="B16" s="19" t="s">
        <v>2</v>
      </c>
      <c r="C16" s="101">
        <v>1.9501216603163021E-2</v>
      </c>
      <c r="D16" s="101">
        <v>1.9501216603163021E-2</v>
      </c>
      <c r="E16" s="101">
        <v>1.9501216603163021E-2</v>
      </c>
      <c r="F16" s="101">
        <v>1.9501216603163021E-2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2.6401499599461582E-3</v>
      </c>
      <c r="D19" s="101">
        <v>2.6401499599461582E-3</v>
      </c>
      <c r="E19" s="101">
        <v>2.6401499599461582E-3</v>
      </c>
      <c r="F19" s="101">
        <v>2.6401499599461582E-3</v>
      </c>
    </row>
    <row r="20" spans="1:8" ht="15.75" customHeight="1" x14ac:dyDescent="0.25">
      <c r="B20" s="19" t="s">
        <v>79</v>
      </c>
      <c r="C20" s="101">
        <v>1.4241753402300369E-2</v>
      </c>
      <c r="D20" s="101">
        <v>1.4241753402300369E-2</v>
      </c>
      <c r="E20" s="101">
        <v>1.4241753402300369E-2</v>
      </c>
      <c r="F20" s="101">
        <v>1.4241753402300369E-2</v>
      </c>
    </row>
    <row r="21" spans="1:8" ht="15.75" customHeight="1" x14ac:dyDescent="0.25">
      <c r="B21" s="19" t="s">
        <v>88</v>
      </c>
      <c r="C21" s="101">
        <v>0.1150037738366763</v>
      </c>
      <c r="D21" s="101">
        <v>0.1150037738366763</v>
      </c>
      <c r="E21" s="101">
        <v>0.1150037738366763</v>
      </c>
      <c r="F21" s="101">
        <v>0.1150037738366763</v>
      </c>
    </row>
    <row r="22" spans="1:8" ht="15.75" customHeight="1" x14ac:dyDescent="0.25">
      <c r="B22" s="19" t="s">
        <v>99</v>
      </c>
      <c r="C22" s="101">
        <v>0.65294093502144468</v>
      </c>
      <c r="D22" s="101">
        <v>0.65294093502144468</v>
      </c>
      <c r="E22" s="101">
        <v>0.65294093502144468</v>
      </c>
      <c r="F22" s="101">
        <v>0.65294093502144468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3.6445469000000001E-2</v>
      </c>
    </row>
    <row r="27" spans="1:8" ht="15.75" customHeight="1" x14ac:dyDescent="0.25">
      <c r="B27" s="19" t="s">
        <v>89</v>
      </c>
      <c r="C27" s="101">
        <v>2.0200972000000001E-2</v>
      </c>
    </row>
    <row r="28" spans="1:8" ht="15.75" customHeight="1" x14ac:dyDescent="0.25">
      <c r="B28" s="19" t="s">
        <v>103</v>
      </c>
      <c r="C28" s="101">
        <v>0.121636906</v>
      </c>
    </row>
    <row r="29" spans="1:8" ht="15.75" customHeight="1" x14ac:dyDescent="0.25">
      <c r="B29" s="19" t="s">
        <v>86</v>
      </c>
      <c r="C29" s="101">
        <v>0.27379125199999998</v>
      </c>
    </row>
    <row r="30" spans="1:8" ht="15.75" customHeight="1" x14ac:dyDescent="0.25">
      <c r="B30" s="19" t="s">
        <v>4</v>
      </c>
      <c r="C30" s="101">
        <v>4.8980840999999997E-2</v>
      </c>
    </row>
    <row r="31" spans="1:8" ht="15.75" customHeight="1" x14ac:dyDescent="0.25">
      <c r="B31" s="19" t="s">
        <v>80</v>
      </c>
      <c r="C31" s="101">
        <v>9.9634768999999998E-2</v>
      </c>
    </row>
    <row r="32" spans="1:8" ht="15.75" customHeight="1" x14ac:dyDescent="0.25">
      <c r="B32" s="19" t="s">
        <v>85</v>
      </c>
      <c r="C32" s="101">
        <v>4.4642563000000003E-2</v>
      </c>
    </row>
    <row r="33" spans="2:3" ht="15.75" customHeight="1" x14ac:dyDescent="0.25">
      <c r="B33" s="19" t="s">
        <v>100</v>
      </c>
      <c r="C33" s="101">
        <v>9.3728627999999994E-2</v>
      </c>
    </row>
    <row r="34" spans="2:3" ht="15.75" customHeight="1" x14ac:dyDescent="0.25">
      <c r="B34" s="19" t="s">
        <v>87</v>
      </c>
      <c r="C34" s="101">
        <v>0.26093860099999999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XrOHe1tuRt84dMdJlGXgPI47uCz5ccQ1SzcxvIvaR3BQn9Wa33IlRwV4C5PIhMPQIFnLL7wFBfAO4a9zyk/pyA==" saltValue="Aa3w9pQ7ffe6FQpccpfBr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0.59641179531785504</v>
      </c>
      <c r="D2" s="52">
        <f>IFERROR(1-_xlfn.NORM.DIST(_xlfn.NORM.INV(SUM(D4:D5), 0, 1) + 1, 0, 1, TRUE), "")</f>
        <v>0.59641179531785504</v>
      </c>
      <c r="E2" s="52">
        <f>IFERROR(1-_xlfn.NORM.DIST(_xlfn.NORM.INV(SUM(E4:E5), 0, 1) + 1, 0, 1, TRUE), "")</f>
        <v>0.61895253356716562</v>
      </c>
      <c r="F2" s="52">
        <f>IFERROR(1-_xlfn.NORM.DIST(_xlfn.NORM.INV(SUM(F4:F5), 0, 1) + 1, 0, 1, TRUE), "")</f>
        <v>0.50069270494387541</v>
      </c>
      <c r="G2" s="52">
        <f>IFERROR(1-_xlfn.NORM.DIST(_xlfn.NORM.INV(SUM(G4:G5), 0, 1) + 1, 0, 1, TRUE), "")</f>
        <v>0.54442841131369968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0.29685135096338733</v>
      </c>
      <c r="D3" s="52">
        <f>IFERROR(_xlfn.NORM.DIST(_xlfn.NORM.INV(SUM(D4:D5), 0, 1) + 1, 0, 1, TRUE) - SUM(D4:D5), "")</f>
        <v>0.29685135096338733</v>
      </c>
      <c r="E3" s="52">
        <f>IFERROR(_xlfn.NORM.DIST(_xlfn.NORM.INV(SUM(E4:E5), 0, 1) + 1, 0, 1, TRUE) - SUM(E4:E5), "")</f>
        <v>0.28471414524891447</v>
      </c>
      <c r="F3" s="52">
        <f>IFERROR(_xlfn.NORM.DIST(_xlfn.NORM.INV(SUM(F4:F5), 0, 1) + 1, 0, 1, TRUE) - SUM(F4:F5), "")</f>
        <v>0.34107182336046343</v>
      </c>
      <c r="G3" s="52">
        <f>IFERROR(_xlfn.NORM.DIST(_xlfn.NORM.INV(SUM(G4:G5), 0, 1) + 1, 0, 1, TRUE) - SUM(G4:G5), "")</f>
        <v>0.32241579573471646</v>
      </c>
    </row>
    <row r="4" spans="1:15" ht="15.75" customHeight="1" x14ac:dyDescent="0.25">
      <c r="B4" s="5" t="s">
        <v>110</v>
      </c>
      <c r="C4" s="45">
        <v>7.1867570281028706E-2</v>
      </c>
      <c r="D4" s="53">
        <v>7.1867570281028706E-2</v>
      </c>
      <c r="E4" s="53">
        <v>7.2165541350841494E-2</v>
      </c>
      <c r="F4" s="53">
        <v>0.117322169244289</v>
      </c>
      <c r="G4" s="53">
        <v>0.11107756942510599</v>
      </c>
    </row>
    <row r="5" spans="1:15" ht="15.75" customHeight="1" x14ac:dyDescent="0.25">
      <c r="B5" s="5" t="s">
        <v>106</v>
      </c>
      <c r="C5" s="45">
        <v>3.4869283437728903E-2</v>
      </c>
      <c r="D5" s="53">
        <v>3.4869283437728903E-2</v>
      </c>
      <c r="E5" s="53">
        <v>2.4167779833078398E-2</v>
      </c>
      <c r="F5" s="53">
        <v>4.0913302451372098E-2</v>
      </c>
      <c r="G5" s="53">
        <v>2.20782235264778E-2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0.84272663430547712</v>
      </c>
      <c r="D8" s="52">
        <f>IFERROR(1-_xlfn.NORM.DIST(_xlfn.NORM.INV(SUM(D10:D11), 0, 1) + 1, 0, 1, TRUE), "")</f>
        <v>0.84272663430547712</v>
      </c>
      <c r="E8" s="52">
        <f>IFERROR(1-_xlfn.NORM.DIST(_xlfn.NORM.INV(SUM(E10:E11), 0, 1) + 1, 0, 1, TRUE), "")</f>
        <v>0.89906716694726663</v>
      </c>
      <c r="F8" s="52">
        <f>IFERROR(1-_xlfn.NORM.DIST(_xlfn.NORM.INV(SUM(F10:F11), 0, 1) + 1, 0, 1, TRUE), "")</f>
        <v>0.91946957092422144</v>
      </c>
      <c r="G8" s="52">
        <f>IFERROR(1-_xlfn.NORM.DIST(_xlfn.NORM.INV(SUM(G10:G11), 0, 1) + 1, 0, 1, TRUE), "")</f>
        <v>0.9302550018123289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0.13483069422417884</v>
      </c>
      <c r="D9" s="52">
        <f>IFERROR(_xlfn.NORM.DIST(_xlfn.NORM.INV(SUM(D10:D11), 0, 1) + 1, 0, 1, TRUE) - SUM(D10:D11), "")</f>
        <v>0.13483069422417884</v>
      </c>
      <c r="E9" s="52">
        <f>IFERROR(_xlfn.NORM.DIST(_xlfn.NORM.INV(SUM(E10:E11), 0, 1) + 1, 0, 1, TRUE) - SUM(E10:E11), "")</f>
        <v>8.9517433965606089E-2</v>
      </c>
      <c r="F9" s="52">
        <f>IFERROR(_xlfn.NORM.DIST(_xlfn.NORM.INV(SUM(F10:F11), 0, 1) + 1, 0, 1, TRUE) - SUM(F10:F11), "")</f>
        <v>7.236670451548799E-2</v>
      </c>
      <c r="G9" s="52">
        <f>IFERROR(_xlfn.NORM.DIST(_xlfn.NORM.INV(SUM(G10:G11), 0, 1) + 1, 0, 1, TRUE) - SUM(G10:G11), "")</f>
        <v>6.3133252790576494E-2</v>
      </c>
    </row>
    <row r="10" spans="1:15" ht="15.75" customHeight="1" x14ac:dyDescent="0.25">
      <c r="B10" s="5" t="s">
        <v>107</v>
      </c>
      <c r="C10" s="45">
        <v>1.4677796512842199E-2</v>
      </c>
      <c r="D10" s="53">
        <v>1.4677796512842199E-2</v>
      </c>
      <c r="E10" s="53">
        <v>1.0809704661369299E-2</v>
      </c>
      <c r="F10" s="53">
        <v>7.0861829444766001E-3</v>
      </c>
      <c r="G10" s="53">
        <v>5.8092237450182403E-3</v>
      </c>
    </row>
    <row r="11" spans="1:15" ht="15.75" customHeight="1" x14ac:dyDescent="0.25">
      <c r="B11" s="5" t="s">
        <v>119</v>
      </c>
      <c r="C11" s="45">
        <v>7.7648749575018909E-3</v>
      </c>
      <c r="D11" s="53">
        <v>7.7648749575018909E-3</v>
      </c>
      <c r="E11" s="53">
        <v>6.0569442575797395E-4</v>
      </c>
      <c r="F11" s="53">
        <v>1.0775416158139699E-3</v>
      </c>
      <c r="G11" s="53">
        <v>8.0252165207639293E-4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0.33551805200000001</v>
      </c>
      <c r="D14" s="54">
        <v>0.31433103722400002</v>
      </c>
      <c r="E14" s="54">
        <v>0.31433103722400002</v>
      </c>
      <c r="F14" s="54">
        <v>9.9518045944200009E-2</v>
      </c>
      <c r="G14" s="54">
        <v>9.9518045944200009E-2</v>
      </c>
      <c r="H14" s="45">
        <v>0.27200000000000002</v>
      </c>
      <c r="I14" s="55">
        <v>0.27200000000000002</v>
      </c>
      <c r="J14" s="55">
        <v>0.27200000000000002</v>
      </c>
      <c r="K14" s="55">
        <v>0.27200000000000002</v>
      </c>
      <c r="L14" s="45">
        <v>0.20899999999999999</v>
      </c>
      <c r="M14" s="55">
        <v>0.20899999999999999</v>
      </c>
      <c r="N14" s="55">
        <v>0.20899999999999999</v>
      </c>
      <c r="O14" s="55">
        <v>0.20899999999999999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0.18684597694217603</v>
      </c>
      <c r="D15" s="52">
        <f t="shared" si="0"/>
        <v>0.17504718265759894</v>
      </c>
      <c r="E15" s="52">
        <f t="shared" si="0"/>
        <v>0.17504718265759894</v>
      </c>
      <c r="F15" s="52">
        <f t="shared" si="0"/>
        <v>5.5420405569773658E-2</v>
      </c>
      <c r="G15" s="52">
        <f t="shared" si="0"/>
        <v>5.5420405569773658E-2</v>
      </c>
      <c r="H15" s="52">
        <f t="shared" si="0"/>
        <v>0.15147353600000002</v>
      </c>
      <c r="I15" s="52">
        <f t="shared" si="0"/>
        <v>0.15147353600000002</v>
      </c>
      <c r="J15" s="52">
        <f t="shared" si="0"/>
        <v>0.15147353600000002</v>
      </c>
      <c r="K15" s="52">
        <f t="shared" si="0"/>
        <v>0.15147353600000002</v>
      </c>
      <c r="L15" s="52">
        <f t="shared" si="0"/>
        <v>0.116389592</v>
      </c>
      <c r="M15" s="52">
        <f t="shared" si="0"/>
        <v>0.116389592</v>
      </c>
      <c r="N15" s="52">
        <f t="shared" si="0"/>
        <v>0.116389592</v>
      </c>
      <c r="O15" s="52">
        <f t="shared" si="0"/>
        <v>0.116389592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+kHRGPhx10GgYOvjHQByF4js+GI+9HIm+jhHlEOHJiCEQ1AfS46keeov4GY2s0Oq2LalU/xoVLSQBMHxRBkF5w==" saltValue="dity6xSkfp1z0PamXOZO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0.63326948881149303</v>
      </c>
      <c r="D2" s="53">
        <v>0.40198139999999999</v>
      </c>
      <c r="E2" s="53"/>
      <c r="F2" s="53"/>
      <c r="G2" s="53"/>
    </row>
    <row r="3" spans="1:7" x14ac:dyDescent="0.25">
      <c r="B3" s="3" t="s">
        <v>127</v>
      </c>
      <c r="C3" s="53">
        <v>7.0307619869709001E-2</v>
      </c>
      <c r="D3" s="53">
        <v>0.10907890000000001</v>
      </c>
      <c r="E3" s="53"/>
      <c r="F3" s="53"/>
      <c r="G3" s="53"/>
    </row>
    <row r="4" spans="1:7" x14ac:dyDescent="0.25">
      <c r="B4" s="3" t="s">
        <v>126</v>
      </c>
      <c r="C4" s="53">
        <v>0.26577976346015902</v>
      </c>
      <c r="D4" s="53">
        <v>0.43609550000000002</v>
      </c>
      <c r="E4" s="53">
        <v>0.74256724119186401</v>
      </c>
      <c r="F4" s="53">
        <v>0.44720050692558311</v>
      </c>
      <c r="G4" s="53"/>
    </row>
    <row r="5" spans="1:7" x14ac:dyDescent="0.25">
      <c r="B5" s="3" t="s">
        <v>125</v>
      </c>
      <c r="C5" s="52">
        <v>3.0643148347735401E-2</v>
      </c>
      <c r="D5" s="52">
        <v>5.2844204008579303E-2</v>
      </c>
      <c r="E5" s="52">
        <f>1-SUM(E2:E4)</f>
        <v>0.25743275880813599</v>
      </c>
      <c r="F5" s="52">
        <f>1-SUM(F2:F4)</f>
        <v>0.55279949307441689</v>
      </c>
      <c r="G5" s="52">
        <f>1-SUM(G2:G4)</f>
        <v>1</v>
      </c>
    </row>
  </sheetData>
  <sheetProtection algorithmName="SHA-512" hashValue="IpfBCJGGSpZeVpxprky1J4Bw/kKImih+2PE9rUBeLxJbE4WocApHxEWgfyyQkI8guF1vqETuHBHErNF6htsBXw==" saltValue="To3e26aG5BDvDtgmdlpEI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2Fx8LLxnu9X4vZRvSQ1omtQMMQ2/n4R2VmRq6iFYIl8pIkWVLXKFY3hgialC+M/5CeIk2/xD3TADB3L5x1D6cQ==" saltValue="nRlHxn05YJMi+BnJi1yD9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PT3kt3J7xVX8tZe2RgN8AaK6XUTHx3UUvwe+wYFa8KrnRIMia+qQMG7ZcW91oLY+SRFiXSe266NGOkrHvj/moA==" saltValue="NjY9c2/H6OkzAoI95KQu8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mtxcuoM10dfOJ6FMp8QClpjFZXaetJI6aPPQcTp/5dG/uZ6qkQG/p2qgebPn1owkArfoshRmtq8PcOPip+JiIQ==" saltValue="fqqLTu0WcQHgwp7TXjULr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CmVK3b2slBvZ+3xUXVfXtG+4fTTOf8VyipQ5jXqRa6do55tusoPOL+FAHgWtoODPvv/Cjl6mLlC6l7xC1KIBOA==" saltValue="TlLwtX/ZXJeSVOqasC9yb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2024-03-15T02:02:03Z</dcterms:modified>
</cp:coreProperties>
</file>