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1C9101E2-1527-4C05-B380-2C085D079B6A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F17" i="26"/>
  <c r="C17" i="26"/>
  <c r="D12" i="26"/>
  <c r="C12" i="26"/>
  <c r="C10" i="26"/>
  <c r="G5" i="26"/>
  <c r="G19" i="26" s="1"/>
  <c r="F5" i="26"/>
  <c r="F19" i="26" s="1"/>
  <c r="E5" i="26"/>
  <c r="E12" i="26" s="1"/>
  <c r="D5" i="26"/>
  <c r="G3" i="26"/>
  <c r="G10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I38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I2" i="2" s="1"/>
  <c r="A2" i="2"/>
  <c r="A36" i="2" s="1"/>
  <c r="C33" i="1"/>
  <c r="C20" i="1"/>
  <c r="A27" i="2" l="1"/>
  <c r="A3" i="2"/>
  <c r="A13" i="2"/>
  <c r="A29" i="2"/>
  <c r="I39" i="2"/>
  <c r="E10" i="26"/>
  <c r="A24" i="2"/>
  <c r="A26" i="2"/>
  <c r="A39" i="2"/>
  <c r="A32" i="2"/>
  <c r="A16" i="2"/>
  <c r="A34" i="2"/>
  <c r="A35" i="2"/>
  <c r="F12" i="26"/>
  <c r="A18" i="2"/>
  <c r="A19" i="2"/>
  <c r="I4" i="2"/>
  <c r="A21" i="2"/>
  <c r="A37" i="2"/>
  <c r="A14" i="2"/>
  <c r="A22" i="2"/>
  <c r="A30" i="2"/>
  <c r="A38" i="2"/>
  <c r="A40" i="2"/>
  <c r="D10" i="26"/>
  <c r="G12" i="26"/>
  <c r="E19" i="26"/>
  <c r="A15" i="2"/>
  <c r="A23" i="2"/>
  <c r="A31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<sst xmlns="http://schemas.openxmlformats.org/spreadsheetml/2006/main" count="2092" uniqueCount="341">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</sst>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297462.466796875</v>
      </c>
    </row>
    <row r="8" spans="1:3" ht="15" customHeight="1" x14ac:dyDescent="0.25">
      <c r="B8" s="5" t="s">
        <v>44</v>
      </c>
      <c r="C8" s="44">
        <v>0.67099999999999993</v>
      </c>
    </row>
    <row r="9" spans="1:3" ht="15" customHeight="1" x14ac:dyDescent="0.25">
      <c r="B9" s="5" t="s">
        <v>43</v>
      </c>
      <c r="C9" s="45">
        <v>1</v>
      </c>
    </row>
    <row r="10" spans="1:3" ht="15" customHeight="1" x14ac:dyDescent="0.25">
      <c r="B10" s="5" t="s">
        <v>56</v>
      </c>
      <c r="C10" s="45">
        <v>0.32603321079999997</v>
      </c>
    </row>
    <row r="11" spans="1:3" ht="15" customHeight="1" x14ac:dyDescent="0.25">
      <c r="B11" s="5" t="s">
        <v>49</v>
      </c>
      <c r="C11" s="45">
        <v>0.64900000000000002</v>
      </c>
    </row>
    <row r="12" spans="1:3" ht="15" customHeight="1" x14ac:dyDescent="0.25">
      <c r="B12" s="5" t="s">
        <v>41</v>
      </c>
      <c r="C12" s="45">
        <v>0.34300000000000003</v>
      </c>
    </row>
    <row r="13" spans="1:3" ht="15" customHeight="1" x14ac:dyDescent="0.25">
      <c r="B13" s="5" t="s">
        <v>62</v>
      </c>
      <c r="C13" s="45">
        <v>0.624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9.4700000000000006E-2</v>
      </c>
    </row>
    <row r="24" spans="1:3" ht="15" customHeight="1" x14ac:dyDescent="0.25">
      <c r="B24" s="15" t="s">
        <v>46</v>
      </c>
      <c r="C24" s="45">
        <v>0.47560000000000002</v>
      </c>
    </row>
    <row r="25" spans="1:3" ht="15" customHeight="1" x14ac:dyDescent="0.25">
      <c r="B25" s="15" t="s">
        <v>47</v>
      </c>
      <c r="C25" s="45">
        <v>0.35120000000000001</v>
      </c>
    </row>
    <row r="26" spans="1:3" ht="15" customHeight="1" x14ac:dyDescent="0.25">
      <c r="B26" s="15" t="s">
        <v>48</v>
      </c>
      <c r="C26" s="45">
        <v>7.85E-2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0.24526484356328099</v>
      </c>
    </row>
    <row r="30" spans="1:3" ht="14.25" customHeight="1" x14ac:dyDescent="0.25">
      <c r="B30" s="25" t="s">
        <v>63</v>
      </c>
      <c r="C30" s="99">
        <v>7.1366248290898701E-2</v>
      </c>
    </row>
    <row r="31" spans="1:3" ht="14.25" customHeight="1" x14ac:dyDescent="0.25">
      <c r="B31" s="25" t="s">
        <v>10</v>
      </c>
      <c r="C31" s="99">
        <v>0.13383437787010799</v>
      </c>
    </row>
    <row r="32" spans="1:3" ht="14.25" customHeight="1" x14ac:dyDescent="0.25">
      <c r="B32" s="25" t="s">
        <v>11</v>
      </c>
      <c r="C32" s="99">
        <v>0.54953453027571197</v>
      </c>
    </row>
    <row r="33" spans="1:5" ht="13" customHeight="1" x14ac:dyDescent="0.25">
      <c r="B33" s="27" t="s">
        <v>60</v>
      </c>
      <c r="C33" s="48">
        <f>SUM(C29:C32)</f>
        <v>0.99999999999999967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35.085246215327899</v>
      </c>
    </row>
    <row r="38" spans="1:5" ht="15" customHeight="1" x14ac:dyDescent="0.25">
      <c r="B38" s="11" t="s">
        <v>35</v>
      </c>
      <c r="C38" s="43">
        <v>52.323206293495801</v>
      </c>
      <c r="D38" s="12"/>
      <c r="E38" s="13"/>
    </row>
    <row r="39" spans="1:5" ht="15" customHeight="1" x14ac:dyDescent="0.25">
      <c r="B39" s="11" t="s">
        <v>61</v>
      </c>
      <c r="C39" s="43">
        <v>78.473350284344406</v>
      </c>
      <c r="D39" s="12"/>
      <c r="E39" s="12"/>
    </row>
    <row r="40" spans="1:5" ht="15" customHeight="1" x14ac:dyDescent="0.25">
      <c r="B40" s="11" t="s">
        <v>36</v>
      </c>
      <c r="C40" s="100">
        <v>6.67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32.185635869999999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2.8660999999999999E-3</v>
      </c>
      <c r="D45" s="12"/>
    </row>
    <row r="46" spans="1:5" ht="15.75" customHeight="1" x14ac:dyDescent="0.25">
      <c r="B46" s="11" t="s">
        <v>51</v>
      </c>
      <c r="C46" s="45">
        <v>8.5708999999999994E-2</v>
      </c>
      <c r="D46" s="12"/>
    </row>
    <row r="47" spans="1:5" ht="15.75" customHeight="1" x14ac:dyDescent="0.25">
      <c r="B47" s="11" t="s">
        <v>59</v>
      </c>
      <c r="C47" s="45">
        <v>0.14242969999999999</v>
      </c>
      <c r="D47" s="12"/>
      <c r="E47" s="13"/>
    </row>
    <row r="48" spans="1:5" ht="15" customHeight="1" x14ac:dyDescent="0.25">
      <c r="B48" s="11" t="s">
        <v>58</v>
      </c>
      <c r="C48" s="46">
        <v>0.76899519999999999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0.44195400000000001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0.21075215999999999</v>
      </c>
    </row>
    <row r="63" spans="1:4" ht="15.75" customHeight="1" x14ac:dyDescent="0.3">
      <c r="A63" s="4"/>
    </row>
  </sheetData>
  <sheetProtection algorithmName="SHA-512" hashValue="L3G9fvx4ACO+cOA2w8Jw+KT3lcU+t8q/x2AhjFhQCBdvMw3i7ipeXNdQY+EwHvgteiD60k/V/ZTfLVuG+YmDDg==" saltValue="S75+cyfXQQWyLeYCz218+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0.37123201163946101</v>
      </c>
      <c r="C2" s="98">
        <v>0.95</v>
      </c>
      <c r="D2" s="56">
        <v>35.689233383193283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47.382446889693739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64.159596471670312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0.23379599852745619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15.04169622018882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15.04169622018882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15.04169622018882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15.04169622018882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15.04169622018882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15.04169622018882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0.45305758840398602</v>
      </c>
      <c r="C16" s="98">
        <v>0.95</v>
      </c>
      <c r="D16" s="56">
        <v>0.2442892100584034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0.83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1.584524665800485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1.584524665800485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0.77036392210000004</v>
      </c>
      <c r="C21" s="98">
        <v>0.95</v>
      </c>
      <c r="D21" s="56">
        <v>2.2607379783053059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25.63150323579427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4.0261665E-3</v>
      </c>
      <c r="C23" s="98">
        <v>0.95</v>
      </c>
      <c r="D23" s="56">
        <v>4.9266956385450174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0.282323734519001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0.37872741802922599</v>
      </c>
      <c r="C27" s="98">
        <v>0.95</v>
      </c>
      <c r="D27" s="56">
        <v>21.753258409153641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0.2996624947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62.659928701621617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2.7E-2</v>
      </c>
      <c r="C31" s="98">
        <v>0.95</v>
      </c>
      <c r="D31" s="56">
        <v>0.91267686391518921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0.57174323999999999</v>
      </c>
      <c r="C32" s="98">
        <v>0.95</v>
      </c>
      <c r="D32" s="56">
        <v>0.46063596943431279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0.20538003002039601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0.34075336460000011</v>
      </c>
      <c r="C38" s="98">
        <v>0.95</v>
      </c>
      <c r="D38" s="56">
        <v>4.0683420963409054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8.0891447070000011E-2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3GsxsCZhZAyJSZolP8LCACuyQVeLWWmvsc95uUkZePxFSlMU2eb8RLFrBazgt3aUQDdZNj4DKj//J4KdnfsOgQ==" saltValue="CnpjwWiH4jsPdwIS6chXb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+ST3Bj1jzKf05FAG0LKNOvRBpqsixuIPEjWVtklRJgwr/Bfqf49lmPftsAIdJsaC4idZCr6zM6qNvPcsKR5flA==" saltValue="sW3LEfI9lGjqEoFpKNxOy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sg+NZnqXHrsfOJ38CI5pkhVDz4ysJIvxh9mgnKPA9cp2NYmHaIw4l0rv6z9lDOMl+sdGnRiDipxrxhqp7FM49g==" saltValue="s66PRyzpDP+a8qeHcIivf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0.12463605031371107</v>
      </c>
      <c r="C3" s="21">
        <f>frac_mam_1_5months * 2.6</f>
        <v>0.12463605031371107</v>
      </c>
      <c r="D3" s="21">
        <f>frac_mam_6_11months * 2.6</f>
        <v>0.11172837764024741</v>
      </c>
      <c r="E3" s="21">
        <f>frac_mam_12_23months * 2.6</f>
        <v>0.16187800019979484</v>
      </c>
      <c r="F3" s="21">
        <f>frac_mam_24_59months * 2.6</f>
        <v>0.10301200225949282</v>
      </c>
    </row>
    <row r="4" spans="1:6" ht="15.75" customHeight="1" x14ac:dyDescent="0.25">
      <c r="A4" s="3" t="s">
        <v>207</v>
      </c>
      <c r="B4" s="21">
        <f>frac_sam_1month * 2.6</f>
        <v>6.1844377219676998E-2</v>
      </c>
      <c r="C4" s="21">
        <f>frac_sam_1_5months * 2.6</f>
        <v>6.1844377219676998E-2</v>
      </c>
      <c r="D4" s="21">
        <f>frac_sam_6_11months * 2.6</f>
        <v>5.2219681441783961E-2</v>
      </c>
      <c r="E4" s="21">
        <f>frac_sam_12_23months * 2.6</f>
        <v>3.8363620825111924E-2</v>
      </c>
      <c r="F4" s="21">
        <f>frac_sam_24_59months * 2.6</f>
        <v>2.8392555192112801E-2</v>
      </c>
    </row>
  </sheetData>
  <sheetProtection algorithmName="SHA-512" hashValue="oJReKgVu3HTphj0hfLHOUbmnn1NSDJG8lDoil6JBYNsZ565tkQPX4S27MGZmvDSX19o6Tm1Gr08diqkzbMOVYA==" saltValue="XVzFPfjZdLaILhEC4T06O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0.67099999999999993</v>
      </c>
      <c r="E2" s="60">
        <f>food_insecure</f>
        <v>0.67099999999999993</v>
      </c>
      <c r="F2" s="60">
        <f>food_insecure</f>
        <v>0.67099999999999993</v>
      </c>
      <c r="G2" s="60">
        <f>food_insecure</f>
        <v>0.67099999999999993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0.67099999999999993</v>
      </c>
      <c r="F5" s="60">
        <f>food_insecure</f>
        <v>0.67099999999999993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0.67099999999999993</v>
      </c>
      <c r="F8" s="60">
        <f>food_insecure</f>
        <v>0.67099999999999993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0.67099999999999993</v>
      </c>
      <c r="F9" s="60">
        <f>food_insecure</f>
        <v>0.67099999999999993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0.34300000000000003</v>
      </c>
      <c r="E10" s="60">
        <f>IF(ISBLANK(comm_deliv), frac_children_health_facility,1)</f>
        <v>0.34300000000000003</v>
      </c>
      <c r="F10" s="60">
        <f>IF(ISBLANK(comm_deliv), frac_children_health_facility,1)</f>
        <v>0.34300000000000003</v>
      </c>
      <c r="G10" s="60">
        <f>IF(ISBLANK(comm_deliv), frac_children_health_facility,1)</f>
        <v>0.34300000000000003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0.67099999999999993</v>
      </c>
      <c r="I15" s="60">
        <f>food_insecure</f>
        <v>0.67099999999999993</v>
      </c>
      <c r="J15" s="60">
        <f>food_insecure</f>
        <v>0.67099999999999993</v>
      </c>
      <c r="K15" s="60">
        <f>food_insecure</f>
        <v>0.67099999999999993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0.64900000000000002</v>
      </c>
      <c r="I18" s="60">
        <f>frac_PW_health_facility</f>
        <v>0.64900000000000002</v>
      </c>
      <c r="J18" s="60">
        <f>frac_PW_health_facility</f>
        <v>0.64900000000000002</v>
      </c>
      <c r="K18" s="60">
        <f>frac_PW_health_facility</f>
        <v>0.64900000000000002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0.624</v>
      </c>
      <c r="M24" s="60">
        <f>famplan_unmet_need</f>
        <v>0.624</v>
      </c>
      <c r="N24" s="60">
        <f>famplan_unmet_need</f>
        <v>0.624</v>
      </c>
      <c r="O24" s="60">
        <f>famplan_unmet_need</f>
        <v>0.624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0.42521238697417196</v>
      </c>
      <c r="M25" s="60">
        <f>(1-food_insecure)*(0.49)+food_insecure*(0.7)</f>
        <v>0.63090999999999986</v>
      </c>
      <c r="N25" s="60">
        <f>(1-food_insecure)*(0.49)+food_insecure*(0.7)</f>
        <v>0.63090999999999986</v>
      </c>
      <c r="O25" s="60">
        <f>(1-food_insecure)*(0.49)+food_insecure*(0.7)</f>
        <v>0.63090999999999986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0.18223388013178801</v>
      </c>
      <c r="M26" s="60">
        <f>(1-food_insecure)*(0.21)+food_insecure*(0.3)</f>
        <v>0.27039000000000002</v>
      </c>
      <c r="N26" s="60">
        <f>(1-food_insecure)*(0.21)+food_insecure*(0.3)</f>
        <v>0.27039000000000002</v>
      </c>
      <c r="O26" s="60">
        <f>(1-food_insecure)*(0.21)+food_insecure*(0.3)</f>
        <v>0.27039000000000002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6.6520522094040024E-2</v>
      </c>
      <c r="M27" s="60">
        <f>(1-food_insecure)*(0.3)</f>
        <v>9.8700000000000024E-2</v>
      </c>
      <c r="N27" s="60">
        <f>(1-food_insecure)*(0.3)</f>
        <v>9.8700000000000024E-2</v>
      </c>
      <c r="O27" s="60">
        <f>(1-food_insecure)*(0.3)</f>
        <v>9.8700000000000024E-2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optRfjJha9JIS2EgiA3u96zDV1Or8dXvcEt9GyVvLw/keUjOkIo6jTDXhKjjGN1o3MqYXCZiHxYsLO8ZMBGnOQ==" saltValue="3F3Jzek3Oxdrl63z8+YYg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2Z3f2JEwf4/YT3+hlRctYdAcS8/T59ONn8me1ipxpFK/tFHYCLiprv3db6MQEpTVApUyjbjN5/+jCcaG8YaVEQ==" saltValue="SVNzGbvtiY1U88e8C7v3O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fDGPlB4/e4NTa+OujYttMk0exWQiMfJiutLkNwMj2VzcFhCTNCcSljy6xS8UwGhwGUAO/B0xwvpV4Hqt/Ti37g==" saltValue="47pBq/DIg74M4tQ82gx9+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6EohMom7ivNxASu1WN9xoGmPlj/QR9ZrJiy3vluqyhmMZLE3NFQuxYQXexoLD0HnehIsHtB7KVYQuCbjI1pxog==" saltValue="bCL4wD5TyLhoTTJ2wk1v1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5qHqY2/ke3b+KViRPWJe5YzIHz7gdB/5Dn2PnueCQg2G4J8MISgXkVWLNDUMygkoSYlBogEUpAS8Hosao3FcZg==" saltValue="XYtDmsSKx1yygBOd6NtVb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si8yyzUvK6lCxzHhma521WbI3RVUTuDFIYN6c050yzxXbBuiFkYOCjWq/QsRZfZ5ZNCC8xnyM7CcUHMhtH2Uxg==" saltValue="fitqN7VQFrC0Wb3HXmleC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68955.75039999999</v>
      </c>
      <c r="C2" s="49">
        <v>105000</v>
      </c>
      <c r="D2" s="49">
        <v>178000</v>
      </c>
      <c r="E2" s="49">
        <v>139000</v>
      </c>
      <c r="F2" s="49">
        <v>90000</v>
      </c>
      <c r="G2" s="17">
        <f t="shared" ref="G2:G11" si="0">C2+D2+E2+F2</f>
        <v>512000</v>
      </c>
      <c r="H2" s="17">
        <f t="shared" ref="H2:H11" si="1">(B2 + stillbirth*B2/(1000-stillbirth))/(1-abortion)</f>
        <v>80964.707878836402</v>
      </c>
      <c r="I2" s="17">
        <f t="shared" ref="I2:I11" si="2">G2-H2</f>
        <v>431035.29212116357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69437.545599999983</v>
      </c>
      <c r="C3" s="50">
        <v>108000</v>
      </c>
      <c r="D3" s="50">
        <v>180000</v>
      </c>
      <c r="E3" s="50">
        <v>143000</v>
      </c>
      <c r="F3" s="50">
        <v>93000</v>
      </c>
      <c r="G3" s="17">
        <f t="shared" si="0"/>
        <v>524000</v>
      </c>
      <c r="H3" s="17">
        <f t="shared" si="1"/>
        <v>81530.409903673266</v>
      </c>
      <c r="I3" s="17">
        <f t="shared" si="2"/>
        <v>442469.59009632672</v>
      </c>
    </row>
    <row r="4" spans="1:9" ht="15.75" customHeight="1" x14ac:dyDescent="0.25">
      <c r="A4" s="5">
        <f t="shared" si="3"/>
        <v>2023</v>
      </c>
      <c r="B4" s="49">
        <v>69867.38559999998</v>
      </c>
      <c r="C4" s="50">
        <v>112000</v>
      </c>
      <c r="D4" s="50">
        <v>183000</v>
      </c>
      <c r="E4" s="50">
        <v>147000</v>
      </c>
      <c r="F4" s="50">
        <v>98000</v>
      </c>
      <c r="G4" s="17">
        <f t="shared" si="0"/>
        <v>540000</v>
      </c>
      <c r="H4" s="17">
        <f t="shared" si="1"/>
        <v>82035.108494186148</v>
      </c>
      <c r="I4" s="17">
        <f t="shared" si="2"/>
        <v>457964.89150581387</v>
      </c>
    </row>
    <row r="5" spans="1:9" ht="15.75" customHeight="1" x14ac:dyDescent="0.25">
      <c r="A5" s="5">
        <f t="shared" si="3"/>
        <v>2024</v>
      </c>
      <c r="B5" s="49">
        <v>70277.316599999962</v>
      </c>
      <c r="C5" s="50">
        <v>115000</v>
      </c>
      <c r="D5" s="50">
        <v>186000</v>
      </c>
      <c r="E5" s="50">
        <v>150000</v>
      </c>
      <c r="F5" s="50">
        <v>102000</v>
      </c>
      <c r="G5" s="17">
        <f t="shared" si="0"/>
        <v>553000</v>
      </c>
      <c r="H5" s="17">
        <f t="shared" si="1"/>
        <v>82516.430841821406</v>
      </c>
      <c r="I5" s="17">
        <f t="shared" si="2"/>
        <v>470483.56915817858</v>
      </c>
    </row>
    <row r="6" spans="1:9" ht="15.75" customHeight="1" x14ac:dyDescent="0.25">
      <c r="A6" s="5">
        <f t="shared" si="3"/>
        <v>2025</v>
      </c>
      <c r="B6" s="49">
        <v>70634.210000000006</v>
      </c>
      <c r="C6" s="50">
        <v>118000</v>
      </c>
      <c r="D6" s="50">
        <v>190000</v>
      </c>
      <c r="E6" s="50">
        <v>154000</v>
      </c>
      <c r="F6" s="50">
        <v>106000</v>
      </c>
      <c r="G6" s="17">
        <f t="shared" si="0"/>
        <v>568000</v>
      </c>
      <c r="H6" s="17">
        <f t="shared" si="1"/>
        <v>82935.478850250991</v>
      </c>
      <c r="I6" s="17">
        <f t="shared" si="2"/>
        <v>485064.52114974899</v>
      </c>
    </row>
    <row r="7" spans="1:9" ht="15.75" customHeight="1" x14ac:dyDescent="0.25">
      <c r="A7" s="5">
        <f t="shared" si="3"/>
        <v>2026</v>
      </c>
      <c r="B7" s="49">
        <v>71196.032400000011</v>
      </c>
      <c r="C7" s="50">
        <v>121000</v>
      </c>
      <c r="D7" s="50">
        <v>194000</v>
      </c>
      <c r="E7" s="50">
        <v>156000</v>
      </c>
      <c r="F7" s="50">
        <v>110000</v>
      </c>
      <c r="G7" s="17">
        <f t="shared" si="0"/>
        <v>581000</v>
      </c>
      <c r="H7" s="17">
        <f t="shared" si="1"/>
        <v>83595.145175857208</v>
      </c>
      <c r="I7" s="17">
        <f t="shared" si="2"/>
        <v>497404.85482414276</v>
      </c>
    </row>
    <row r="8" spans="1:9" ht="15.75" customHeight="1" x14ac:dyDescent="0.25">
      <c r="A8" s="5">
        <f t="shared" si="3"/>
        <v>2027</v>
      </c>
      <c r="B8" s="49">
        <v>71746.499799999991</v>
      </c>
      <c r="C8" s="50">
        <v>124000</v>
      </c>
      <c r="D8" s="50">
        <v>199000</v>
      </c>
      <c r="E8" s="50">
        <v>159000</v>
      </c>
      <c r="F8" s="50">
        <v>115000</v>
      </c>
      <c r="G8" s="17">
        <f t="shared" si="0"/>
        <v>597000</v>
      </c>
      <c r="H8" s="17">
        <f t="shared" si="1"/>
        <v>84241.478976581406</v>
      </c>
      <c r="I8" s="17">
        <f t="shared" si="2"/>
        <v>512758.52102341858</v>
      </c>
    </row>
    <row r="9" spans="1:9" ht="15.75" customHeight="1" x14ac:dyDescent="0.25">
      <c r="A9" s="5">
        <f t="shared" si="3"/>
        <v>2028</v>
      </c>
      <c r="B9" s="49">
        <v>72254.107199999999</v>
      </c>
      <c r="C9" s="50">
        <v>128000</v>
      </c>
      <c r="D9" s="50">
        <v>204000</v>
      </c>
      <c r="E9" s="50">
        <v>162000</v>
      </c>
      <c r="F9" s="50">
        <v>119000</v>
      </c>
      <c r="G9" s="17">
        <f t="shared" si="0"/>
        <v>613000</v>
      </c>
      <c r="H9" s="17">
        <f t="shared" si="1"/>
        <v>84837.488513418182</v>
      </c>
      <c r="I9" s="17">
        <f t="shared" si="2"/>
        <v>528162.51148658176</v>
      </c>
    </row>
    <row r="10" spans="1:9" ht="15.75" customHeight="1" x14ac:dyDescent="0.25">
      <c r="A10" s="5">
        <f t="shared" si="3"/>
        <v>2029</v>
      </c>
      <c r="B10" s="49">
        <v>72748.645199999999</v>
      </c>
      <c r="C10" s="50">
        <v>131000</v>
      </c>
      <c r="D10" s="50">
        <v>210000</v>
      </c>
      <c r="E10" s="50">
        <v>164000</v>
      </c>
      <c r="F10" s="50">
        <v>124000</v>
      </c>
      <c r="G10" s="17">
        <f t="shared" si="0"/>
        <v>629000</v>
      </c>
      <c r="H10" s="17">
        <f t="shared" si="1"/>
        <v>85418.152554817454</v>
      </c>
      <c r="I10" s="17">
        <f t="shared" si="2"/>
        <v>543581.8474451825</v>
      </c>
    </row>
    <row r="11" spans="1:9" ht="15.75" customHeight="1" x14ac:dyDescent="0.25">
      <c r="A11" s="5">
        <f t="shared" si="3"/>
        <v>2030</v>
      </c>
      <c r="B11" s="49">
        <v>73199.466</v>
      </c>
      <c r="C11" s="50">
        <v>133000</v>
      </c>
      <c r="D11" s="50">
        <v>215000</v>
      </c>
      <c r="E11" s="50">
        <v>168000</v>
      </c>
      <c r="F11" s="50">
        <v>128000</v>
      </c>
      <c r="G11" s="17">
        <f t="shared" si="0"/>
        <v>644000</v>
      </c>
      <c r="H11" s="17">
        <f t="shared" si="1"/>
        <v>85947.485847051546</v>
      </c>
      <c r="I11" s="17">
        <f t="shared" si="2"/>
        <v>558052.51415294851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2A/RjLyOVPyMsU+8EXSmftoijgySw1bJ67mjf5kWgXupCOjY8S5FG7gn7ARLAwNHhgEUXwBRK8kzSSgGBNnUaA==" saltValue="EIAqDQgUqenXESH7bwbfX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3.7397686506376342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3.7397686506376342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2.307626761104717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2.307626761104717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2.8102042870284372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2.8102042870284372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1.8639676814441881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1.8639676814441881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4.7671818946267468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4.7671818946267468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2.7979867965189853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2.7979867965189853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JLTiyezSOBcYCjWNLl/WWE4GQnepxFBQJFxZO+VUOaLNY0NJ8HAQiIf9wCGT5NKSf/yNR2WBwishJzjA1LuJbw==" saltValue="m96LOfD5v28CKBFpcX4Bi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Evphy8Kghgj57I6ZxkiEwQjeH3UsmGuB2qBC7OVu6i+a34w2A8Wn4occ6F441DfqEB8IhNa9BJ2nU8I62Yr/Gg==" saltValue="DSjFX0VP+sJK1I/1TqLrd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+qcBWNmmyxyUQrnuxHkGkvsg68vW6PgJ/mFJpNyomZ50sTeJrzwspeYF30nJMxfHLMHVCCKGICng6Fmd9rfsYg==" saltValue="038ad3HMA53b5muSmedPL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0.60505647175350386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0.60505647175350386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0.86337922829801539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0.86337922829801539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0.86337922829801539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0.86337922829801539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0.40373001261207198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0.40373001261207198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0.83002661741438566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0.83002661741438566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0.83002661741438566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0.83002661741438566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0.9083424326907199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0.9083424326907199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0.89704830285573689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0.89704830285573689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0.89704830285573689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0.89704830285573689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Vnz7SW9RuGNI6I3KyVNYBxIUmKzgc1j2Jwv7wmGapCGZvrGbEUK7WfkvArSKMniMCzy1EpLmFRbmMKRmZ1TPbQ==" saltValue="2uprpWAIyCrMzkOpxC1Ky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xMO3CMBaNjWRyVP+PsHrDP4l+Uh5UPjz2WXwLhwQ12xL/ZPoQiKclksr9abRCuprtxHxNW+bQqhDPf2NtXOY9w==" saltValue="Wg6qzYjamQMCTs4J59sEd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0.39370647932559194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0.36413099145277555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0.36413099145277555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0.5600251414204902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0.5600251414204902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0.5600251414204902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0.5600251414204902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0.59401461547384282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0.59401461547384282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0.59401461547384282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0.59401461547384282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0.50251852401446173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0.47112063922865366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0.47112063922865366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0.66442953020134232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0.66442953020134232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0.66442953020134232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0.66442953020134232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0.69474969474969472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0.69474969474969472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0.69474969474969472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0.69474969474969472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0.22866274231753819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0.20724741223573456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0.20724741223573456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0.36752371786058019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0.36752371786058019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0.36752371786058019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0.36752371786058019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0.40046398873914962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0.40046398873914962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0.40046398873914962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0.40046398873914962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0.37076827496028103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0.34194408853872421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0.34194408853872421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0.53596287703016232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0.53596287703016232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0.53596287703016232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0.53596287703016232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0.57038522125161095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0.57038522125161095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0.57038522125161095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0.57038522125161095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0.89089137005638275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0.87805704073470192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0.87805704073470192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0.94119376653925324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0.94119376653925324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0.94119376653925324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0.94119376653925324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0.9484474077638203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0.9484474077638203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0.9484474077638203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0.9484474077638203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0.74385965331153592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0.71918176430530534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0.71918176430530534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0.8505790063503923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0.8505790063503923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0.8505790063503923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0.8505790063503923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0.86743554053158345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0.86743554053158345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0.86743554053158345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0.86743554053158345</v>
      </c>
    </row>
  </sheetData>
  <sheetProtection algorithmName="SHA-512" hashValue="ki8tvbuQaxdKXhBbQcMnXB4G/oQbKpXTiiI1q4x0nb6YUI5cyNtYr1GVvMwIRLr7X953KBUYm5bDoIZo3ibIfQ==" saltValue="TUbyVgpKDpIEuVKqyk3p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0.85707632222143915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0.85753932464104066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0.85820063621464115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0.85867274149653816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0.85398022215165981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0.85462757153700697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0.85207971770835789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0.85506148073712962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0.7713686899992952</v>
      </c>
      <c r="E10" s="90">
        <f>E3*0.9</f>
        <v>0.77178539217693665</v>
      </c>
      <c r="F10" s="90">
        <f>F3*0.9</f>
        <v>0.77238057259317705</v>
      </c>
      <c r="G10" s="90">
        <f>G3*0.9</f>
        <v>0.77280546734688438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0.76858219993649379</v>
      </c>
      <c r="E12" s="90">
        <f>E5*0.9</f>
        <v>0.76916481438330631</v>
      </c>
      <c r="F12" s="90">
        <f>F5*0.9</f>
        <v>0.76687174593752216</v>
      </c>
      <c r="G12" s="90">
        <f>G5*0.9</f>
        <v>0.76955533266341669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0.89993013833251112</v>
      </c>
      <c r="E17" s="90">
        <f>E3*1.05</f>
        <v>0.90041629087309272</v>
      </c>
      <c r="F17" s="90">
        <f>F3*1.05</f>
        <v>0.90111066802537321</v>
      </c>
      <c r="G17" s="90">
        <f>G3*1.05</f>
        <v>0.90160637857136505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0.89667923325924281</v>
      </c>
      <c r="E19" s="90">
        <f>E5*1.05</f>
        <v>0.89735895011385736</v>
      </c>
      <c r="F19" s="90">
        <f>F5*1.05</f>
        <v>0.8946837035937758</v>
      </c>
      <c r="G19" s="90">
        <f>G5*1.05</f>
        <v>0.89781455477398608</v>
      </c>
    </row>
  </sheetData>
  <sheetProtection algorithmName="SHA-512" hashValue="BgxV4niEhLbobQ8FUDNCOCxSJ76yISzLG2onRTHldkhHX05wejzJqDMxoTuhaviuUyY6byTc+WUR49G/mGmXWA==" saltValue="NhWl81gO4JIVyJBZF7x3a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MuKri/HXHdSPFmSIeSWY5sZb2CTOz6RpOqifK/p/DzSbpqVd8Dj75Zjsi8xb7kS1ASRTc9/4QC7yIJykPB+HBA==" saltValue="Z4tpt1nQvoNsVbkcjZSPC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yl726jllaukrimb62KH2LdvzdvBodM0yNy46vvDVt9Ykwyj+iQFMTPb6+wSSqH7I8lTzNueRsYByGSqzVnp8wA==" saltValue="Yn3AU57yeLnnrHzuyQk/r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5.5425416000519246E-3</v>
      </c>
    </row>
    <row r="4" spans="1:8" ht="15.75" customHeight="1" x14ac:dyDescent="0.25">
      <c r="B4" s="19" t="s">
        <v>97</v>
      </c>
      <c r="C4" s="101">
        <v>0.1815936484819885</v>
      </c>
    </row>
    <row r="5" spans="1:8" ht="15.75" customHeight="1" x14ac:dyDescent="0.25">
      <c r="B5" s="19" t="s">
        <v>95</v>
      </c>
      <c r="C5" s="101">
        <v>7.1842386561212543E-2</v>
      </c>
    </row>
    <row r="6" spans="1:8" ht="15.75" customHeight="1" x14ac:dyDescent="0.25">
      <c r="B6" s="19" t="s">
        <v>91</v>
      </c>
      <c r="C6" s="101">
        <v>0.30561123027111042</v>
      </c>
    </row>
    <row r="7" spans="1:8" ht="15.75" customHeight="1" x14ac:dyDescent="0.25">
      <c r="B7" s="19" t="s">
        <v>96</v>
      </c>
      <c r="C7" s="101">
        <v>0.26631180522062559</v>
      </c>
    </row>
    <row r="8" spans="1:8" ht="15.75" customHeight="1" x14ac:dyDescent="0.25">
      <c r="B8" s="19" t="s">
        <v>98</v>
      </c>
      <c r="C8" s="101">
        <v>1.6393974586557211E-2</v>
      </c>
    </row>
    <row r="9" spans="1:8" ht="15.75" customHeight="1" x14ac:dyDescent="0.25">
      <c r="B9" s="19" t="s">
        <v>92</v>
      </c>
      <c r="C9" s="101">
        <v>7.342174159965327E-2</v>
      </c>
    </row>
    <row r="10" spans="1:8" ht="15.75" customHeight="1" x14ac:dyDescent="0.25">
      <c r="B10" s="19" t="s">
        <v>94</v>
      </c>
      <c r="C10" s="101">
        <v>7.9282671678800556E-2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0.149941695485036</v>
      </c>
      <c r="D14" s="55">
        <v>0.149941695485036</v>
      </c>
      <c r="E14" s="55">
        <v>0.149941695485036</v>
      </c>
      <c r="F14" s="55">
        <v>0.149941695485036</v>
      </c>
    </row>
    <row r="15" spans="1:8" ht="15.75" customHeight="1" x14ac:dyDescent="0.25">
      <c r="B15" s="19" t="s">
        <v>102</v>
      </c>
      <c r="C15" s="101">
        <v>0.2007781592162978</v>
      </c>
      <c r="D15" s="101">
        <v>0.2007781592162978</v>
      </c>
      <c r="E15" s="101">
        <v>0.2007781592162978</v>
      </c>
      <c r="F15" s="101">
        <v>0.2007781592162978</v>
      </c>
    </row>
    <row r="16" spans="1:8" ht="15.75" customHeight="1" x14ac:dyDescent="0.25">
      <c r="B16" s="19" t="s">
        <v>2</v>
      </c>
      <c r="C16" s="101">
        <v>3.030813337936996E-2</v>
      </c>
      <c r="D16" s="101">
        <v>3.030813337936996E-2</v>
      </c>
      <c r="E16" s="101">
        <v>3.030813337936996E-2</v>
      </c>
      <c r="F16" s="101">
        <v>3.030813337936996E-2</v>
      </c>
    </row>
    <row r="17" spans="1:8" ht="15.75" customHeight="1" x14ac:dyDescent="0.25">
      <c r="B17" s="19" t="s">
        <v>90</v>
      </c>
      <c r="C17" s="101">
        <v>1.9050686492123541E-2</v>
      </c>
      <c r="D17" s="101">
        <v>1.9050686492123541E-2</v>
      </c>
      <c r="E17" s="101">
        <v>1.9050686492123541E-2</v>
      </c>
      <c r="F17" s="101">
        <v>1.9050686492123541E-2</v>
      </c>
    </row>
    <row r="18" spans="1:8" ht="15.75" customHeight="1" x14ac:dyDescent="0.25">
      <c r="B18" s="19" t="s">
        <v>3</v>
      </c>
      <c r="C18" s="101">
        <v>7.4520408065998425E-2</v>
      </c>
      <c r="D18" s="101">
        <v>7.4520408065998425E-2</v>
      </c>
      <c r="E18" s="101">
        <v>7.4520408065998425E-2</v>
      </c>
      <c r="F18" s="101">
        <v>7.4520408065998425E-2</v>
      </c>
    </row>
    <row r="19" spans="1:8" ht="15.75" customHeight="1" x14ac:dyDescent="0.25">
      <c r="B19" s="19" t="s">
        <v>101</v>
      </c>
      <c r="C19" s="101">
        <v>1.6245489378623929E-2</v>
      </c>
      <c r="D19" s="101">
        <v>1.6245489378623929E-2</v>
      </c>
      <c r="E19" s="101">
        <v>1.6245489378623929E-2</v>
      </c>
      <c r="F19" s="101">
        <v>1.6245489378623929E-2</v>
      </c>
    </row>
    <row r="20" spans="1:8" ht="15.75" customHeight="1" x14ac:dyDescent="0.25">
      <c r="B20" s="19" t="s">
        <v>79</v>
      </c>
      <c r="C20" s="101">
        <v>8.513093265422908E-2</v>
      </c>
      <c r="D20" s="101">
        <v>8.513093265422908E-2</v>
      </c>
      <c r="E20" s="101">
        <v>8.513093265422908E-2</v>
      </c>
      <c r="F20" s="101">
        <v>8.513093265422908E-2</v>
      </c>
    </row>
    <row r="21" spans="1:8" ht="15.75" customHeight="1" x14ac:dyDescent="0.25">
      <c r="B21" s="19" t="s">
        <v>88</v>
      </c>
      <c r="C21" s="101">
        <v>0.1001795845783655</v>
      </c>
      <c r="D21" s="101">
        <v>0.1001795845783655</v>
      </c>
      <c r="E21" s="101">
        <v>0.1001795845783655</v>
      </c>
      <c r="F21" s="101">
        <v>0.1001795845783655</v>
      </c>
    </row>
    <row r="22" spans="1:8" ht="15.75" customHeight="1" x14ac:dyDescent="0.25">
      <c r="B22" s="19" t="s">
        <v>99</v>
      </c>
      <c r="C22" s="101">
        <v>0.32384491074995558</v>
      </c>
      <c r="D22" s="101">
        <v>0.32384491074995558</v>
      </c>
      <c r="E22" s="101">
        <v>0.32384491074995558</v>
      </c>
      <c r="F22" s="101">
        <v>0.32384491074995558</v>
      </c>
    </row>
    <row r="23" spans="1:8" ht="15.75" customHeight="1" x14ac:dyDescent="0.25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8.7170950000000011E-2</v>
      </c>
    </row>
    <row r="27" spans="1:8" ht="15.75" customHeight="1" x14ac:dyDescent="0.25">
      <c r="B27" s="19" t="s">
        <v>89</v>
      </c>
      <c r="C27" s="101">
        <v>8.9932480000000006E-3</v>
      </c>
    </row>
    <row r="28" spans="1:8" ht="15.75" customHeight="1" x14ac:dyDescent="0.25">
      <c r="B28" s="19" t="s">
        <v>103</v>
      </c>
      <c r="C28" s="101">
        <v>0.15608702499999999</v>
      </c>
    </row>
    <row r="29" spans="1:8" ht="15.75" customHeight="1" x14ac:dyDescent="0.25">
      <c r="B29" s="19" t="s">
        <v>86</v>
      </c>
      <c r="C29" s="101">
        <v>0.16826559799999999</v>
      </c>
    </row>
    <row r="30" spans="1:8" ht="15.75" customHeight="1" x14ac:dyDescent="0.25">
      <c r="B30" s="19" t="s">
        <v>4</v>
      </c>
      <c r="C30" s="101">
        <v>0.106258319</v>
      </c>
    </row>
    <row r="31" spans="1:8" ht="15.75" customHeight="1" x14ac:dyDescent="0.25">
      <c r="B31" s="19" t="s">
        <v>80</v>
      </c>
      <c r="C31" s="101">
        <v>0.11025383499999999</v>
      </c>
    </row>
    <row r="32" spans="1:8" ht="15.75" customHeight="1" x14ac:dyDescent="0.25">
      <c r="B32" s="19" t="s">
        <v>85</v>
      </c>
      <c r="C32" s="101">
        <v>1.8920856E-2</v>
      </c>
    </row>
    <row r="33" spans="2:3" ht="15.75" customHeight="1" x14ac:dyDescent="0.25">
      <c r="B33" s="19" t="s">
        <v>100</v>
      </c>
      <c r="C33" s="101">
        <v>8.4360093999999997E-2</v>
      </c>
    </row>
    <row r="34" spans="2:3" ht="15.75" customHeight="1" x14ac:dyDescent="0.25">
      <c r="B34" s="19" t="s">
        <v>87</v>
      </c>
      <c r="C34" s="101">
        <v>0.25969007599999999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zZhKkuauGUS7w42i8JoSuK6/Keh+ABeiKgMsHcecOABUeem/Bkp3d+DesjVLbdidBu4XZ8axS4nr4MurPriCyQ==" saltValue="yIzeJjisZDzt9/PtjoM1F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0.51290302317356662</v>
      </c>
      <c r="D2" s="52">
        <f>IFERROR(1-_xlfn.NORM.DIST(_xlfn.NORM.INV(SUM(D4:D5), 0, 1) + 1, 0, 1, TRUE), "")</f>
        <v>0.51290302317356662</v>
      </c>
      <c r="E2" s="52">
        <f>IFERROR(1-_xlfn.NORM.DIST(_xlfn.NORM.INV(SUM(E4:E5), 0, 1) + 1, 0, 1, TRUE), "")</f>
        <v>0.53515494586484058</v>
      </c>
      <c r="F2" s="52">
        <f>IFERROR(1-_xlfn.NORM.DIST(_xlfn.NORM.INV(SUM(F4:F5), 0, 1) + 1, 0, 1, TRUE), "")</f>
        <v>0.3191526460537748</v>
      </c>
      <c r="G2" s="52">
        <f>IFERROR(1-_xlfn.NORM.DIST(_xlfn.NORM.INV(SUM(G4:G5), 0, 1) + 1, 0, 1, TRUE), "")</f>
        <v>0.30425483370600359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0.3361425850191152</v>
      </c>
      <c r="D3" s="52">
        <f>IFERROR(_xlfn.NORM.DIST(_xlfn.NORM.INV(SUM(D4:D5), 0, 1) + 1, 0, 1, TRUE) - SUM(D4:D5), "")</f>
        <v>0.3361425850191152</v>
      </c>
      <c r="E3" s="52">
        <f>IFERROR(_xlfn.NORM.DIST(_xlfn.NORM.INV(SUM(E4:E5), 0, 1) + 1, 0, 1, TRUE) - SUM(E4:E5), "")</f>
        <v>0.32659930764181988</v>
      </c>
      <c r="F3" s="52">
        <f>IFERROR(_xlfn.NORM.DIST(_xlfn.NORM.INV(SUM(F4:F5), 0, 1) + 1, 0, 1, TRUE) - SUM(F4:F5), "")</f>
        <v>0.3827672597875762</v>
      </c>
      <c r="G3" s="52">
        <f>IFERROR(_xlfn.NORM.DIST(_xlfn.NORM.INV(SUM(G4:G5), 0, 1) + 1, 0, 1, TRUE) - SUM(G4:G5), "")</f>
        <v>0.38289871429623956</v>
      </c>
    </row>
    <row r="4" spans="1:15" ht="15.75" customHeight="1" x14ac:dyDescent="0.25">
      <c r="B4" s="5" t="s">
        <v>110</v>
      </c>
      <c r="C4" s="45">
        <v>0.107231549918652</v>
      </c>
      <c r="D4" s="53">
        <v>0.107231549918652</v>
      </c>
      <c r="E4" s="53">
        <v>0.105063296854496</v>
      </c>
      <c r="F4" s="53">
        <v>0.21476276218891099</v>
      </c>
      <c r="G4" s="53">
        <v>0.21621328592300401</v>
      </c>
    </row>
    <row r="5" spans="1:15" ht="15.75" customHeight="1" x14ac:dyDescent="0.25">
      <c r="B5" s="5" t="s">
        <v>106</v>
      </c>
      <c r="C5" s="45">
        <v>4.3722841888666188E-2</v>
      </c>
      <c r="D5" s="53">
        <v>4.3722841888666188E-2</v>
      </c>
      <c r="E5" s="53">
        <v>3.3182449638843502E-2</v>
      </c>
      <c r="F5" s="53">
        <v>8.3317331969738007E-2</v>
      </c>
      <c r="G5" s="53">
        <v>9.6633166074752808E-2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0.67834518678416311</v>
      </c>
      <c r="D8" s="52">
        <f>IFERROR(1-_xlfn.NORM.DIST(_xlfn.NORM.INV(SUM(D10:D11), 0, 1) + 1, 0, 1, TRUE), "")</f>
        <v>0.67834518678416311</v>
      </c>
      <c r="E8" s="52">
        <f>IFERROR(1-_xlfn.NORM.DIST(_xlfn.NORM.INV(SUM(E10:E11), 0, 1) + 1, 0, 1, TRUE), "")</f>
        <v>0.70180798178161174</v>
      </c>
      <c r="F8" s="52">
        <f>IFERROR(1-_xlfn.NORM.DIST(_xlfn.NORM.INV(SUM(F10:F11), 0, 1) + 1, 0, 1, TRUE), "")</f>
        <v>0.66473954677398006</v>
      </c>
      <c r="G8" s="52">
        <f>IFERROR(1-_xlfn.NORM.DIST(_xlfn.NORM.INV(SUM(G10:G11), 0, 1) + 1, 0, 1, TRUE), "")</f>
        <v>0.73879605839310558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0.24993157185684148</v>
      </c>
      <c r="D9" s="52">
        <f>IFERROR(_xlfn.NORM.DIST(_xlfn.NORM.INV(SUM(D10:D11), 0, 1) + 1, 0, 1, TRUE) - SUM(D10:D11), "")</f>
        <v>0.24993157185684148</v>
      </c>
      <c r="E9" s="52">
        <f>IFERROR(_xlfn.NORM.DIST(_xlfn.NORM.INV(SUM(E10:E11), 0, 1) + 1, 0, 1, TRUE) - SUM(E10:E11), "")</f>
        <v>0.23513507241760695</v>
      </c>
      <c r="F9" s="52">
        <f>IFERROR(_xlfn.NORM.DIST(_xlfn.NORM.INV(SUM(F10:F11), 0, 1) + 1, 0, 1, TRUE) - SUM(F10:F11), "")</f>
        <v>0.25824444513951739</v>
      </c>
      <c r="G9" s="52">
        <f>IFERROR(_xlfn.NORM.DIST(_xlfn.NORM.INV(SUM(G10:G11), 0, 1) + 1, 0, 1, TRUE) - SUM(G10:G11), "")</f>
        <v>0.21066372720243071</v>
      </c>
    </row>
    <row r="10" spans="1:15" ht="15.75" customHeight="1" x14ac:dyDescent="0.25">
      <c r="B10" s="5" t="s">
        <v>107</v>
      </c>
      <c r="C10" s="45">
        <v>4.7936942428350407E-2</v>
      </c>
      <c r="D10" s="53">
        <v>4.7936942428350407E-2</v>
      </c>
      <c r="E10" s="53">
        <v>4.2972452938556699E-2</v>
      </c>
      <c r="F10" s="53">
        <v>6.2260769307613401E-2</v>
      </c>
      <c r="G10" s="53">
        <v>3.96200008690357E-2</v>
      </c>
    </row>
    <row r="11" spans="1:15" ht="15.75" customHeight="1" x14ac:dyDescent="0.25">
      <c r="B11" s="5" t="s">
        <v>119</v>
      </c>
      <c r="C11" s="45">
        <v>2.3786298930644999E-2</v>
      </c>
      <c r="D11" s="53">
        <v>2.3786298930644999E-2</v>
      </c>
      <c r="E11" s="53">
        <v>2.00844928622246E-2</v>
      </c>
      <c r="F11" s="53">
        <v>1.47552387788892E-2</v>
      </c>
      <c r="G11" s="53">
        <v>1.0920213535428E-2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0.7510305827499999</v>
      </c>
      <c r="D14" s="54">
        <v>0.74746872583599999</v>
      </c>
      <c r="E14" s="54">
        <v>0.74746872583599999</v>
      </c>
      <c r="F14" s="54">
        <v>0.77730240855800004</v>
      </c>
      <c r="G14" s="54">
        <v>0.77730240855800004</v>
      </c>
      <c r="H14" s="45">
        <v>0.505</v>
      </c>
      <c r="I14" s="55">
        <v>0.505</v>
      </c>
      <c r="J14" s="55">
        <v>0.505</v>
      </c>
      <c r="K14" s="55">
        <v>0.505</v>
      </c>
      <c r="L14" s="45">
        <v>0.43099999999999999</v>
      </c>
      <c r="M14" s="55">
        <v>0.43099999999999999</v>
      </c>
      <c r="N14" s="55">
        <v>0.43099999999999999</v>
      </c>
      <c r="O14" s="55">
        <v>0.43099999999999999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0.33192097016869349</v>
      </c>
      <c r="D15" s="52">
        <f t="shared" si="0"/>
        <v>0.33034679325812355</v>
      </c>
      <c r="E15" s="52">
        <f t="shared" si="0"/>
        <v>0.33034679325812355</v>
      </c>
      <c r="F15" s="52">
        <f t="shared" si="0"/>
        <v>0.34353190867184236</v>
      </c>
      <c r="G15" s="52">
        <f t="shared" si="0"/>
        <v>0.34353190867184236</v>
      </c>
      <c r="H15" s="52">
        <f t="shared" si="0"/>
        <v>0.22318677000000001</v>
      </c>
      <c r="I15" s="52">
        <f t="shared" si="0"/>
        <v>0.22318677000000001</v>
      </c>
      <c r="J15" s="52">
        <f t="shared" si="0"/>
        <v>0.22318677000000001</v>
      </c>
      <c r="K15" s="52">
        <f t="shared" si="0"/>
        <v>0.22318677000000001</v>
      </c>
      <c r="L15" s="52">
        <f t="shared" si="0"/>
        <v>0.190482174</v>
      </c>
      <c r="M15" s="52">
        <f t="shared" si="0"/>
        <v>0.190482174</v>
      </c>
      <c r="N15" s="52">
        <f t="shared" si="0"/>
        <v>0.190482174</v>
      </c>
      <c r="O15" s="52">
        <f t="shared" si="0"/>
        <v>0.190482174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uzqFNQ2134nW+lVBxUk0s+Pywpoxx9/JQTKphfIo1r7A3bcPpgumr7vRCFoVhi/LQE/915GrXXfxOUEZKoaBoQ==" saltValue="uEdXinjWO4HlNOGvvEqym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0.79560317990000007</v>
      </c>
      <c r="D2" s="53">
        <v>0.57174323999999999</v>
      </c>
      <c r="E2" s="53"/>
      <c r="F2" s="53"/>
      <c r="G2" s="53"/>
    </row>
    <row r="3" spans="1:7" x14ac:dyDescent="0.25">
      <c r="B3" s="3" t="s">
        <v>127</v>
      </c>
      <c r="C3" s="53">
        <v>0.12970050999999999</v>
      </c>
      <c r="D3" s="53">
        <v>0.22481667</v>
      </c>
      <c r="E3" s="53"/>
      <c r="F3" s="53"/>
      <c r="G3" s="53"/>
    </row>
    <row r="4" spans="1:7" x14ac:dyDescent="0.25">
      <c r="B4" s="3" t="s">
        <v>126</v>
      </c>
      <c r="C4" s="53">
        <v>2.5244823E-2</v>
      </c>
      <c r="D4" s="53">
        <v>0.15797641000000001</v>
      </c>
      <c r="E4" s="53">
        <v>0.98277044296264604</v>
      </c>
      <c r="F4" s="53">
        <v>0.77001976966857899</v>
      </c>
      <c r="G4" s="53"/>
    </row>
    <row r="5" spans="1:7" x14ac:dyDescent="0.25">
      <c r="B5" s="3" t="s">
        <v>125</v>
      </c>
      <c r="C5" s="52">
        <v>4.9451513289999999E-2</v>
      </c>
      <c r="D5" s="52">
        <v>4.5463691000000001E-2</v>
      </c>
      <c r="E5" s="52">
        <f>1-SUM(E2:E4)</f>
        <v>1.722955703735396E-2</v>
      </c>
      <c r="F5" s="52">
        <f>1-SUM(F2:F4)</f>
        <v>0.22998023033142101</v>
      </c>
      <c r="G5" s="52">
        <f>1-SUM(G2:G4)</f>
        <v>1</v>
      </c>
    </row>
  </sheetData>
  <sheetProtection algorithmName="SHA-512" hashValue="N29x20MG9vKLf85/m7+mPkrFqjgsPYvywfLhuR68/Og+1J0XJhjm9H+LeUdaa9eOWiTc0ibjSekBE3Qko1gqdw==" saltValue="ZiqB73DOtTavDHMTKxjaQ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t+FIIl6JmHPe1ezeV+HjRSyfvcNYhrBmy0eqgjHB0oPN2PKLu/1AKPPArIfJI2vHfEP2fmQE8wgjBO1OnHuO2g==" saltValue="q8FSra2kcagmeb6hTCzoN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1SflM8QsLzdtBj8+4UUVCnHhBagjQgpXhGP69LgksLC0fG8O71h4TjGeu7ckcZPNi85TrP6+pbRtccGQXxgnwQ==" saltValue="zNHwwM9AfaP8+hJt+tfWL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SzrW4E/j4BThu/+vI6OEVLw2NONXPdBSZ43kK6VP4V6MpL3F3SDQdaONOGFST1m0fIMEhMk0m4kDri8zo4RphQ==" saltValue="RRTXjFl/zkaWgzjZtDJ0t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3EkQtlxi4GJxbyjC0wtSrO6qIwxhuq1w+w5TeomH39+btQDXt3LNqVUGVDFA1qRCzIteFGnSRnCpRECkyWQMeQ==" saltValue="zkRe9HJ695KACXnFD5sMe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2024-03-15T02:08:47Z</dcterms:modified>
</cp:coreProperties>
</file>