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3FB86B04-2635-432A-9370-5C0FAB5FCAD1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C19" i="26"/>
  <c r="D17" i="26"/>
  <c r="C17" i="26"/>
  <c r="C12" i="26"/>
  <c r="C10" i="26"/>
  <c r="G5" i="26"/>
  <c r="G19" i="26" s="1"/>
  <c r="F5" i="26"/>
  <c r="F12" i="26" s="1"/>
  <c r="E5" i="26"/>
  <c r="E12" i="26" s="1"/>
  <c r="D5" i="26"/>
  <c r="D12" i="26" s="1"/>
  <c r="G3" i="26"/>
  <c r="G17" i="26" s="1"/>
  <c r="F3" i="26"/>
  <c r="F17" i="26" s="1"/>
  <c r="E3" i="26"/>
  <c r="E17" i="26" s="1"/>
  <c r="D3" i="26"/>
  <c r="D10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A39" i="2"/>
  <c r="H38" i="2"/>
  <c r="G38" i="2"/>
  <c r="I38" i="2" s="1"/>
  <c r="A38" i="2"/>
  <c r="A34" i="2"/>
  <c r="A26" i="2"/>
  <c r="A23" i="2"/>
  <c r="A22" i="2"/>
  <c r="A18" i="2"/>
  <c r="A15" i="2"/>
  <c r="A14" i="2"/>
  <c r="H11" i="2"/>
  <c r="I11" i="2" s="1"/>
  <c r="G11" i="2"/>
  <c r="H10" i="2"/>
  <c r="I10" i="2" s="1"/>
  <c r="G10" i="2"/>
  <c r="H9" i="2"/>
  <c r="I9" i="2" s="1"/>
  <c r="G9" i="2"/>
  <c r="I8" i="2"/>
  <c r="H8" i="2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H2" i="2"/>
  <c r="I2" i="2" s="1"/>
  <c r="G2" i="2"/>
  <c r="A2" i="2"/>
  <c r="A40" i="2" s="1"/>
  <c r="C33" i="1"/>
  <c r="C20" i="1"/>
  <c r="E10" i="26" l="1"/>
  <c r="F19" i="26"/>
  <c r="A30" i="2"/>
  <c r="A31" i="2"/>
  <c r="A12" i="2"/>
  <c r="A20" i="2"/>
  <c r="A28" i="2"/>
  <c r="A36" i="2"/>
  <c r="A13" i="2"/>
  <c r="A21" i="2"/>
  <c r="A29" i="2"/>
  <c r="A37" i="2"/>
  <c r="D19" i="26"/>
  <c r="G12" i="26"/>
  <c r="E19" i="26"/>
  <c r="F10" i="26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7" i="2"/>
  <c r="A25" i="2"/>
  <c r="A33" i="2"/>
  <c r="G10" i="26"/>
  <c r="A19" i="2"/>
  <c r="A27" i="2"/>
  <c r="A3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<sst xmlns="http://schemas.openxmlformats.org/spreadsheetml/2006/main" count="2092" uniqueCount="341">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</sst>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3268654</v>
      </c>
    </row>
    <row r="8" spans="1:3" ht="15" customHeight="1" x14ac:dyDescent="0.25">
      <c r="B8" s="5" t="s">
        <v>44</v>
      </c>
      <c r="C8" s="44">
        <v>0.01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0.63021438598632795</v>
      </c>
    </row>
    <row r="11" spans="1:3" ht="15" customHeight="1" x14ac:dyDescent="0.25">
      <c r="B11" s="5" t="s">
        <v>49</v>
      </c>
      <c r="C11" s="45">
        <v>0.55299999999999994</v>
      </c>
    </row>
    <row r="12" spans="1:3" ht="15" customHeight="1" x14ac:dyDescent="0.25">
      <c r="B12" s="5" t="s">
        <v>41</v>
      </c>
      <c r="C12" s="45">
        <v>0.70099999999999996</v>
      </c>
    </row>
    <row r="13" spans="1:3" ht="15" customHeight="1" x14ac:dyDescent="0.25">
      <c r="B13" s="5" t="s">
        <v>62</v>
      </c>
      <c r="C13" s="45">
        <v>0.252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6.9099999999999995E-2</v>
      </c>
    </row>
    <row r="24" spans="1:3" ht="15" customHeight="1" x14ac:dyDescent="0.25">
      <c r="B24" s="15" t="s">
        <v>46</v>
      </c>
      <c r="C24" s="45">
        <v>0.43240000000000001</v>
      </c>
    </row>
    <row r="25" spans="1:3" ht="15" customHeight="1" x14ac:dyDescent="0.25">
      <c r="B25" s="15" t="s">
        <v>47</v>
      </c>
      <c r="C25" s="45">
        <v>0.39429999999999998</v>
      </c>
    </row>
    <row r="26" spans="1:3" ht="15" customHeight="1" x14ac:dyDescent="0.25">
      <c r="B26" s="15" t="s">
        <v>48</v>
      </c>
      <c r="C26" s="45">
        <v>0.1042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0.273422997588112</v>
      </c>
    </row>
    <row r="30" spans="1:3" ht="14.25" customHeight="1" x14ac:dyDescent="0.25">
      <c r="B30" s="25" t="s">
        <v>63</v>
      </c>
      <c r="C30" s="99">
        <v>5.2040608536793487E-2</v>
      </c>
    </row>
    <row r="31" spans="1:3" ht="14.25" customHeight="1" x14ac:dyDescent="0.25">
      <c r="B31" s="25" t="s">
        <v>10</v>
      </c>
      <c r="C31" s="99">
        <v>8.6256961115756189E-2</v>
      </c>
    </row>
    <row r="32" spans="1:3" ht="14.25" customHeight="1" x14ac:dyDescent="0.25">
      <c r="B32" s="25" t="s">
        <v>11</v>
      </c>
      <c r="C32" s="99">
        <v>0.58827943275933803</v>
      </c>
    </row>
    <row r="33" spans="1:5" ht="13" customHeight="1" x14ac:dyDescent="0.25">
      <c r="B33" s="27" t="s">
        <v>60</v>
      </c>
      <c r="C33" s="48">
        <f>SUM(C29:C32)</f>
        <v>0.99999999999999978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13.618987117827301</v>
      </c>
    </row>
    <row r="38" spans="1:5" ht="15" customHeight="1" x14ac:dyDescent="0.25">
      <c r="B38" s="11" t="s">
        <v>35</v>
      </c>
      <c r="C38" s="43">
        <v>18.342283129755501</v>
      </c>
      <c r="D38" s="12"/>
      <c r="E38" s="13"/>
    </row>
    <row r="39" spans="1:5" ht="15" customHeight="1" x14ac:dyDescent="0.25">
      <c r="B39" s="11" t="s">
        <v>61</v>
      </c>
      <c r="C39" s="43">
        <v>21.386674210480098</v>
      </c>
      <c r="D39" s="12"/>
      <c r="E39" s="12"/>
    </row>
    <row r="40" spans="1:5" ht="15" customHeight="1" x14ac:dyDescent="0.25">
      <c r="B40" s="11" t="s">
        <v>36</v>
      </c>
      <c r="C40" s="100">
        <v>0.7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13.97764922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9.4213999999999999E-3</v>
      </c>
      <c r="D45" s="12"/>
    </row>
    <row r="46" spans="1:5" ht="15.75" customHeight="1" x14ac:dyDescent="0.25">
      <c r="B46" s="11" t="s">
        <v>51</v>
      </c>
      <c r="C46" s="45">
        <v>7.8822299999999998E-2</v>
      </c>
      <c r="D46" s="12"/>
    </row>
    <row r="47" spans="1:5" ht="15.75" customHeight="1" x14ac:dyDescent="0.25">
      <c r="B47" s="11" t="s">
        <v>59</v>
      </c>
      <c r="C47" s="45">
        <v>7.7898200000000001E-2</v>
      </c>
      <c r="D47" s="12"/>
      <c r="E47" s="13"/>
    </row>
    <row r="48" spans="1:5" ht="15" customHeight="1" x14ac:dyDescent="0.25">
      <c r="B48" s="11" t="s">
        <v>58</v>
      </c>
      <c r="C48" s="46">
        <v>0.83385810000000005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2.9</v>
      </c>
      <c r="D51" s="12"/>
    </row>
    <row r="52" spans="1:4" ht="15" customHeight="1" x14ac:dyDescent="0.25">
      <c r="B52" s="11" t="s">
        <v>13</v>
      </c>
      <c r="C52" s="100">
        <v>2.9</v>
      </c>
    </row>
    <row r="53" spans="1:4" ht="15.75" customHeight="1" x14ac:dyDescent="0.25">
      <c r="B53" s="11" t="s">
        <v>16</v>
      </c>
      <c r="C53" s="100">
        <v>2.9</v>
      </c>
    </row>
    <row r="54" spans="1:4" ht="15.75" customHeight="1" x14ac:dyDescent="0.25">
      <c r="B54" s="11" t="s">
        <v>14</v>
      </c>
      <c r="C54" s="100">
        <v>2.9</v>
      </c>
    </row>
    <row r="55" spans="1:4" ht="15.75" customHeight="1" x14ac:dyDescent="0.25">
      <c r="B55" s="11" t="s">
        <v>15</v>
      </c>
      <c r="C55" s="100">
        <v>2.9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2.0689655172413789E-2</v>
      </c>
    </row>
    <row r="59" spans="1:4" ht="15.75" customHeight="1" x14ac:dyDescent="0.25">
      <c r="B59" s="11" t="s">
        <v>40</v>
      </c>
      <c r="C59" s="45">
        <v>0.55589599999999983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0.17284669999999899</v>
      </c>
    </row>
    <row r="63" spans="1:4" ht="15.75" customHeight="1" x14ac:dyDescent="0.3">
      <c r="A63" s="4"/>
    </row>
  </sheetData>
  <sheetProtection algorithmName="SHA-512" hashValue="JZaekcGKU5ZG7TKtEiMqRowzloLZ3+xa4BEyxTd62g8TKrzYrdP2TxEvdUIhmXKgYRb9xhUlFm+cmJLeJ2+DDw==" saltValue="rsrTzyoo8f7RSqmH4fihE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5.6416485285758898E-2</v>
      </c>
      <c r="C2" s="98">
        <v>0.95</v>
      </c>
      <c r="D2" s="56">
        <v>50.04836698295685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39.701244624562811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289.27755605473601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0.78090712367985393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12.833544068358719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12.833544068358719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12.833544068358719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12.833544068358719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12.833544068358719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12.833544068358719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0.16679606420977</v>
      </c>
      <c r="C16" s="98">
        <v>0.95</v>
      </c>
      <c r="D16" s="56">
        <v>0.54030986825407035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0.9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6.7065442721728772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6.7065442721728772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6.2779440879999995E-2</v>
      </c>
      <c r="C21" s="98">
        <v>0.95</v>
      </c>
      <c r="D21" s="56">
        <v>10.934248210384361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22.05293698426788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4.1676905525779402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0.54401411453999993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7.2350452566146806E-2</v>
      </c>
      <c r="C27" s="98">
        <v>0.95</v>
      </c>
      <c r="D27" s="56">
        <v>18.396567802509001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0.22873869999999999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95.432494803225381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0.78911240795034354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0.26531189999999999</v>
      </c>
      <c r="C32" s="98">
        <v>0.95</v>
      </c>
      <c r="D32" s="56">
        <v>1.141754871233807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0.88503644070256104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0.99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</v>
      </c>
      <c r="C38" s="98">
        <v>0.95</v>
      </c>
      <c r="D38" s="56">
        <v>3.7489377776772859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0.223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WAKTHC+r9EYLuOEAXlD/3MZ5+hYq7V4PPn4LkooYrNk3JQV256exQ9CCwRkv2BsySC372IKJgElIo6BoCxe/PQ==" saltValue="Bq1OEIwvOM0CtI0XUqkM6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bSHnJdyH2m7W/oSvK5OqhKeOTYK7gmjCJbZdv5K5ggbSrj+YSajSiXdR+gFNH4FvA6hq4mio4RYMhdlqlZFHUA==" saltValue="A4YRHVu6fIaNkLzaaCvmP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0H1NMoyziTFvvCIY3h5jg3bqKKRJm117X/rEb5lyzG2A70ABwd2RRYZZreUf3f5cF1szcwsEypQ8/l9RzNf2xA==" saltValue="g515Nng02uwADiSAjZ828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2.9</v>
      </c>
      <c r="C2" s="21">
        <f>'Entradas de población-año base'!C52</f>
        <v>2.9</v>
      </c>
      <c r="D2" s="21">
        <f>'Entradas de población-año base'!C53</f>
        <v>2.9</v>
      </c>
      <c r="E2" s="21">
        <f>'Entradas de población-año base'!C54</f>
        <v>2.9</v>
      </c>
      <c r="F2" s="21">
        <f>'Entradas de población-año base'!C55</f>
        <v>2.9</v>
      </c>
    </row>
    <row r="3" spans="1:6" ht="15.75" customHeight="1" x14ac:dyDescent="0.25">
      <c r="A3" s="3" t="s">
        <v>6</v>
      </c>
      <c r="B3" s="21">
        <f>frac_mam_1month * 2.6</f>
        <v>0.20379326500000003</v>
      </c>
      <c r="C3" s="21">
        <f>frac_mam_1_5months * 2.6</f>
        <v>0.20379326500000003</v>
      </c>
      <c r="D3" s="21">
        <f>frac_mam_6_11months * 2.6</f>
        <v>0.13890653140000001</v>
      </c>
      <c r="E3" s="21">
        <f>frac_mam_12_23months * 2.6</f>
        <v>0.10023287040000001</v>
      </c>
      <c r="F3" s="21">
        <f>frac_mam_24_59months * 2.6</f>
        <v>0.16172464360000002</v>
      </c>
    </row>
    <row r="4" spans="1:6" ht="15.75" customHeight="1" x14ac:dyDescent="0.25">
      <c r="A4" s="3" t="s">
        <v>207</v>
      </c>
      <c r="B4" s="21">
        <f>frac_sam_1month * 2.6</f>
        <v>0.23619026340000002</v>
      </c>
      <c r="C4" s="21">
        <f>frac_sam_1_5months * 2.6</f>
        <v>0.23619026340000002</v>
      </c>
      <c r="D4" s="21">
        <f>frac_sam_6_11months * 2.6</f>
        <v>0.13789559160000001</v>
      </c>
      <c r="E4" s="21">
        <f>frac_sam_12_23months * 2.6</f>
        <v>8.4402936800000009E-2</v>
      </c>
      <c r="F4" s="21">
        <f>frac_sam_24_59months * 2.6</f>
        <v>0.12727194480000001</v>
      </c>
    </row>
  </sheetData>
  <sheetProtection algorithmName="SHA-512" hashValue="mwmKpaZyx6P27R18qIe74UDlmzLRxGrBiSDO3Q4X3gZk7NPWkjwX+PFvOVdYQAkoZRHGiRCXA25Ud4r37Prj1g==" saltValue="VKkk2VB7AR3YyFS+6SNC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0.01</v>
      </c>
      <c r="E2" s="60">
        <f>food_insecure</f>
        <v>0.01</v>
      </c>
      <c r="F2" s="60">
        <f>food_insecure</f>
        <v>0.01</v>
      </c>
      <c r="G2" s="60">
        <f>food_insecure</f>
        <v>0.01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0.01</v>
      </c>
      <c r="F5" s="60">
        <f>food_insecure</f>
        <v>0.01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0.01</v>
      </c>
      <c r="F8" s="60">
        <f>food_insecure</f>
        <v>0.01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0.01</v>
      </c>
      <c r="F9" s="60">
        <f>food_insecure</f>
        <v>0.01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0.70099999999999996</v>
      </c>
      <c r="E10" s="60">
        <f>IF(ISBLANK(comm_deliv), frac_children_health_facility,1)</f>
        <v>0.70099999999999996</v>
      </c>
      <c r="F10" s="60">
        <f>IF(ISBLANK(comm_deliv), frac_children_health_facility,1)</f>
        <v>0.70099999999999996</v>
      </c>
      <c r="G10" s="60">
        <f>IF(ISBLANK(comm_deliv), frac_children_health_facility,1)</f>
        <v>0.70099999999999996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0.01</v>
      </c>
      <c r="I15" s="60">
        <f>food_insecure</f>
        <v>0.01</v>
      </c>
      <c r="J15" s="60">
        <f>food_insecure</f>
        <v>0.01</v>
      </c>
      <c r="K15" s="60">
        <f>food_insecure</f>
        <v>0.01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0.55299999999999994</v>
      </c>
      <c r="I18" s="60">
        <f>frac_PW_health_facility</f>
        <v>0.55299999999999994</v>
      </c>
      <c r="J18" s="60">
        <f>frac_PW_health_facility</f>
        <v>0.55299999999999994</v>
      </c>
      <c r="K18" s="60">
        <f>frac_PW_health_facility</f>
        <v>0.55299999999999994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0.252</v>
      </c>
      <c r="M24" s="60">
        <f>famplan_unmet_need</f>
        <v>0.252</v>
      </c>
      <c r="N24" s="60">
        <f>famplan_unmet_need</f>
        <v>0.252</v>
      </c>
      <c r="O24" s="60">
        <f>famplan_unmet_need</f>
        <v>0.252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0.18197150065612802</v>
      </c>
      <c r="M25" s="60">
        <f>(1-food_insecure)*(0.49)+food_insecure*(0.7)</f>
        <v>0.49209999999999998</v>
      </c>
      <c r="N25" s="60">
        <f>(1-food_insecure)*(0.49)+food_insecure*(0.7)</f>
        <v>0.49209999999999998</v>
      </c>
      <c r="O25" s="60">
        <f>(1-food_insecure)*(0.49)+food_insecure*(0.7)</f>
        <v>0.49209999999999998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7.7987785995483436E-2</v>
      </c>
      <c r="M26" s="60">
        <f>(1-food_insecure)*(0.21)+food_insecure*(0.3)</f>
        <v>0.2109</v>
      </c>
      <c r="N26" s="60">
        <f>(1-food_insecure)*(0.21)+food_insecure*(0.3)</f>
        <v>0.2109</v>
      </c>
      <c r="O26" s="60">
        <f>(1-food_insecure)*(0.21)+food_insecure*(0.3)</f>
        <v>0.2109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0.10982632736206059</v>
      </c>
      <c r="M27" s="60">
        <f>(1-food_insecure)*(0.3)</f>
        <v>0.29699999999999999</v>
      </c>
      <c r="N27" s="60">
        <f>(1-food_insecure)*(0.3)</f>
        <v>0.29699999999999999</v>
      </c>
      <c r="O27" s="60">
        <f>(1-food_insecure)*(0.3)</f>
        <v>0.29699999999999999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0.63021438598632795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v/JlPhbczeur/awvnM2Gc0w72nDsyQ7IRK1RbUw0ncdIpRXL+4obcVLh5379HzCGt+w6uz04tuLIm+Az2SNvGw==" saltValue="trB/KaKDMX8bk9zoVbGSm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p3BV6L/TfvIYJ/emPrK5hfVAeaOipsf2S8kNUy9aiWNew+nQHfXR0bkKU+2s2nbaNRfCgV6dqEqQQN1BEcGE+g==" saltValue="62/MGBzm/1NICp+Fwcdgo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5z7CiRlpY7ZS9Cv7Xde8uYveSoxReRB/pZBwx/odEtUiTvV+BI8x2kduPBtO8oLrtAAHiAzNuiTR4PIxVCTRvQ==" saltValue="64a6n7haz5acZeTA1Q2KI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pg/gTjTdGBj1jlcRfQihUadLlj8oEoapbfJMiKVZFYp0ckqb4qS4Ox7D8Jg+ILAI+uhjDN5OumZHBxPUDoco+w==" saltValue="pqbQ8H2D2mn1qQJPbZQ/t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b+9Vf5sAG0Z47vdcqnelersFqnysGEi3B6XZAfzF8a8P4YuzgYgGh3/50ZCdQ/KyMAH58qocwKaOwva9Ljst9w==" saltValue="50I7sNiH3oAMuvKVrkWbO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7tHF5Fxl+KEksKM87s5TmehMBI8fItYAHLk9WK569fKn1VvjGKR5pcSIDsS1A04rNhlf/8W7lg0q+2/9Z4dXnQ==" saltValue="K9SD8xEuaBkTJQBsOn1tz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666871.93160000001</v>
      </c>
      <c r="C2" s="49">
        <v>1463000</v>
      </c>
      <c r="D2" s="49">
        <v>2881000</v>
      </c>
      <c r="E2" s="49">
        <v>2940000</v>
      </c>
      <c r="F2" s="49">
        <v>2439000</v>
      </c>
      <c r="G2" s="17">
        <f t="shared" ref="G2:G11" si="0">C2+D2+E2+F2</f>
        <v>9723000</v>
      </c>
      <c r="H2" s="17">
        <f t="shared" ref="H2:H11" si="1">(B2 + stillbirth*B2/(1000-stillbirth))/(1-abortion)</f>
        <v>768551.55725663621</v>
      </c>
      <c r="I2" s="17">
        <f t="shared" ref="I2:I11" si="2">G2-H2</f>
        <v>8954448.4427433647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660325.38960000011</v>
      </c>
      <c r="C3" s="50">
        <v>1468000</v>
      </c>
      <c r="D3" s="50">
        <v>2857000</v>
      </c>
      <c r="E3" s="50">
        <v>2949000</v>
      </c>
      <c r="F3" s="50">
        <v>2504000</v>
      </c>
      <c r="G3" s="17">
        <f t="shared" si="0"/>
        <v>9778000</v>
      </c>
      <c r="H3" s="17">
        <f t="shared" si="1"/>
        <v>761006.84767997975</v>
      </c>
      <c r="I3" s="17">
        <f t="shared" si="2"/>
        <v>9016993.1523200199</v>
      </c>
    </row>
    <row r="4" spans="1:9" ht="15.75" customHeight="1" x14ac:dyDescent="0.25">
      <c r="A4" s="5">
        <f t="shared" si="3"/>
        <v>2023</v>
      </c>
      <c r="B4" s="49">
        <v>653302.35200000007</v>
      </c>
      <c r="C4" s="50">
        <v>1475000</v>
      </c>
      <c r="D4" s="50">
        <v>2834000</v>
      </c>
      <c r="E4" s="50">
        <v>2950000</v>
      </c>
      <c r="F4" s="50">
        <v>2569000</v>
      </c>
      <c r="G4" s="17">
        <f t="shared" si="0"/>
        <v>9828000</v>
      </c>
      <c r="H4" s="17">
        <f t="shared" si="1"/>
        <v>752912.99003147776</v>
      </c>
      <c r="I4" s="17">
        <f t="shared" si="2"/>
        <v>9075087.0099685229</v>
      </c>
    </row>
    <row r="5" spans="1:9" ht="15.75" customHeight="1" x14ac:dyDescent="0.25">
      <c r="A5" s="5">
        <f t="shared" si="3"/>
        <v>2024</v>
      </c>
      <c r="B5" s="49">
        <v>645797.17200000025</v>
      </c>
      <c r="C5" s="50">
        <v>1488000</v>
      </c>
      <c r="D5" s="50">
        <v>2815000</v>
      </c>
      <c r="E5" s="50">
        <v>2944000</v>
      </c>
      <c r="F5" s="50">
        <v>2633000</v>
      </c>
      <c r="G5" s="17">
        <f t="shared" si="0"/>
        <v>9880000</v>
      </c>
      <c r="H5" s="17">
        <f t="shared" si="1"/>
        <v>744263.47652945947</v>
      </c>
      <c r="I5" s="17">
        <f t="shared" si="2"/>
        <v>9135736.5234705396</v>
      </c>
    </row>
    <row r="6" spans="1:9" ht="15.75" customHeight="1" x14ac:dyDescent="0.25">
      <c r="A6" s="5">
        <f t="shared" si="3"/>
        <v>2025</v>
      </c>
      <c r="B6" s="49">
        <v>637854.61300000001</v>
      </c>
      <c r="C6" s="50">
        <v>1509000</v>
      </c>
      <c r="D6" s="50">
        <v>2804000</v>
      </c>
      <c r="E6" s="50">
        <v>2934000</v>
      </c>
      <c r="F6" s="50">
        <v>2691000</v>
      </c>
      <c r="G6" s="17">
        <f t="shared" si="0"/>
        <v>9938000</v>
      </c>
      <c r="H6" s="17">
        <f t="shared" si="1"/>
        <v>735109.89576109941</v>
      </c>
      <c r="I6" s="17">
        <f t="shared" si="2"/>
        <v>9202890.1042389013</v>
      </c>
    </row>
    <row r="7" spans="1:9" ht="15.75" customHeight="1" x14ac:dyDescent="0.25">
      <c r="A7" s="5">
        <f t="shared" si="3"/>
        <v>2026</v>
      </c>
      <c r="B7" s="49">
        <v>632973.97439999995</v>
      </c>
      <c r="C7" s="50">
        <v>1533000</v>
      </c>
      <c r="D7" s="50">
        <v>2804000</v>
      </c>
      <c r="E7" s="50">
        <v>2920000</v>
      </c>
      <c r="F7" s="50">
        <v>2741000</v>
      </c>
      <c r="G7" s="17">
        <f t="shared" si="0"/>
        <v>9998000</v>
      </c>
      <c r="H7" s="17">
        <f t="shared" si="1"/>
        <v>729485.09402827313</v>
      </c>
      <c r="I7" s="17">
        <f t="shared" si="2"/>
        <v>9268514.9059717264</v>
      </c>
    </row>
    <row r="8" spans="1:9" ht="15.75" customHeight="1" x14ac:dyDescent="0.25">
      <c r="A8" s="5">
        <f t="shared" si="3"/>
        <v>2027</v>
      </c>
      <c r="B8" s="49">
        <v>627711.07200000004</v>
      </c>
      <c r="C8" s="50">
        <v>1565000</v>
      </c>
      <c r="D8" s="50">
        <v>2812000</v>
      </c>
      <c r="E8" s="50">
        <v>2902000</v>
      </c>
      <c r="F8" s="50">
        <v>2786000</v>
      </c>
      <c r="G8" s="17">
        <f t="shared" si="0"/>
        <v>10065000</v>
      </c>
      <c r="H8" s="17">
        <f t="shared" si="1"/>
        <v>723419.74378102983</v>
      </c>
      <c r="I8" s="17">
        <f t="shared" si="2"/>
        <v>9341580.2562189698</v>
      </c>
    </row>
    <row r="9" spans="1:9" ht="15.75" customHeight="1" x14ac:dyDescent="0.25">
      <c r="A9" s="5">
        <f t="shared" si="3"/>
        <v>2028</v>
      </c>
      <c r="B9" s="49">
        <v>622090.57679999992</v>
      </c>
      <c r="C9" s="50">
        <v>1600000</v>
      </c>
      <c r="D9" s="50">
        <v>2825000</v>
      </c>
      <c r="E9" s="50">
        <v>2881000</v>
      </c>
      <c r="F9" s="50">
        <v>2824000</v>
      </c>
      <c r="G9" s="17">
        <f t="shared" si="0"/>
        <v>10130000</v>
      </c>
      <c r="H9" s="17">
        <f t="shared" si="1"/>
        <v>716942.27766823431</v>
      </c>
      <c r="I9" s="17">
        <f t="shared" si="2"/>
        <v>9413057.722331766</v>
      </c>
    </row>
    <row r="10" spans="1:9" ht="15.75" customHeight="1" x14ac:dyDescent="0.25">
      <c r="A10" s="5">
        <f t="shared" si="3"/>
        <v>2029</v>
      </c>
      <c r="B10" s="49">
        <v>616136.04539999994</v>
      </c>
      <c r="C10" s="50">
        <v>1628000</v>
      </c>
      <c r="D10" s="50">
        <v>2846000</v>
      </c>
      <c r="E10" s="50">
        <v>2858000</v>
      </c>
      <c r="F10" s="50">
        <v>2855000</v>
      </c>
      <c r="G10" s="17">
        <f t="shared" si="0"/>
        <v>10187000</v>
      </c>
      <c r="H10" s="17">
        <f t="shared" si="1"/>
        <v>710079.84402340592</v>
      </c>
      <c r="I10" s="17">
        <f t="shared" si="2"/>
        <v>9476920.1559765935</v>
      </c>
    </row>
    <row r="11" spans="1:9" ht="15.75" customHeight="1" x14ac:dyDescent="0.25">
      <c r="A11" s="5">
        <f t="shared" si="3"/>
        <v>2030</v>
      </c>
      <c r="B11" s="49">
        <v>609840.07999999996</v>
      </c>
      <c r="C11" s="50">
        <v>1646000</v>
      </c>
      <c r="D11" s="50">
        <v>2871000</v>
      </c>
      <c r="E11" s="50">
        <v>2832000</v>
      </c>
      <c r="F11" s="50">
        <v>2878000</v>
      </c>
      <c r="G11" s="17">
        <f t="shared" si="0"/>
        <v>10227000</v>
      </c>
      <c r="H11" s="17">
        <f t="shared" si="1"/>
        <v>702823.91708553885</v>
      </c>
      <c r="I11" s="17">
        <f t="shared" si="2"/>
        <v>9524176.0829144605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NHd8yz2oU/SA+fNo9VhwibpOhkn1Hrt+maJZRAVwDSwehDP0IGHsI9pE2ozQiA5E4bscF8J+0HASU32YkdjpKw==" saltValue="v2cNuZwJ2Olz5VkN0x3ms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2.4740234096213056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2.4740234096213056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1.7622282163002232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1.7622282163002232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1.9739083242140769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1.9739083242140769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1.5036150714840761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1.5036150714840761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3.0267821882292947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3.0267821882292947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2.0480637974128069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2.0480637974128069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2Z2q0aP+gsPCt1yGIDF948MSav2xEMT5vzWS8d4D73dF7zuok4egpNcD+4Ute5+MyBcjbnRjAihHG7NNx+V74A==" saltValue="8/ZkbEe7rsZICLOjN1t4C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FcrvDeE8DW81A/Hkrz2rn/90l86C4bxprgb+w+h9LrAxY9sRXSuiW2CLQ0EZfuTZCAS24/YZTA/tF2DYJW5Q2Q==" saltValue="lbQysRpISVX73148S4pTo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IVTt16hDg+huIrete8fn6F/5gNbPG3JlJSsnWPfXt//KfHwMlOLuZsRqVCd/yppYuu8EAMERQpSMyYuCxbHXdw==" saltValue="XuvDzHADUUrZRaeGZMsqo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0.58537081133817015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0.58537081133817015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0.85345083063184046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0.85345083063184046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0.85345083063184046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0.85345083063184046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0.38422216778460777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0.38422216778460777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0.81818485676464459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0.81818485676464459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0.81818485676464459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0.81818485676464459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0.90130805788850321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0.90130805788850321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0.88925282596235466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0.88925282596235466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0.88925282596235466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0.88925282596235466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tKTKbNucVR8WjtKojx9652giSGWj8zfQA4bcVUCn9oqB8bO1guCTPaP9KZw1p3gjwAxvcggd7AeppTIrvBKskQ==" saltValue="Q8j7iLGBR61E7Zdo8JUd8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z8eNt77N0w5UAqgS5NQK7WkTvclZd34l8pz/O9db4JdWVpMcAd2PKMsVo96i7EEJ/2gEJks3vWawZOS4An93qQ==" saltValue="w65H+gUjJhMFXnj8L3CqN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0.60770878684297081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0.627664700809479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0.627664700809479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0.60514440433212979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0.60514440433212979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0.60514440433212979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0.60514440433212979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0.6194411221050341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0.6194411221050341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0.6194411221050341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0.6194411221050341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0.70672359234584414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0.72393076427751102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0.72393076427751102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0.70449172576832164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0.70449172576832164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0.70449172576832164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0.70449172576832164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0.71687429218573062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0.71687429218573062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0.71687429218573062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0.71687429218573062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0.41424898230045754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0.43489482574004129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0.43489482574004129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0.41164432620485003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0.41164432620485003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0.41164432620485003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0.41164432620485003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0.42630515577062189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0.42630515577062189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0.42630515577062189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0.42630515577062189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0.58431867639076229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0.60469045573265545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0.60469045573265545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0.58170663692136082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0.58170663692136082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0.58170663692136082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0.58170663692136082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0.59628582963261989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0.59628582963261989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0.59628582963261989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0.59628582963261989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0.95116909415463835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0.95494838238944912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0.95494838238944912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0.9506676313885416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0.9506676313885416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0.9506676313885416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0.9506676313885416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0.95341687240881345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0.95341687240881345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0.95341687240881345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0.95341687240881345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0.87386540017382797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0.882891012319168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0.882891012319168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0.87267634326457844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0.87267634326457844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0.87267634326457844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0.87267634326457844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0.87921975964732157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0.87921975964732157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0.87921975964732157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0.87921975964732157</v>
      </c>
    </row>
  </sheetData>
  <sheetProtection algorithmName="SHA-512" hashValue="7HscX1LeQMIHCkKqkEa4LvyvhLKtGfLnf+Z7F+L7JV41Y49e7SXRWd/SqoPEcQjLm6kxoRkrDjzWtKpI+qsLqw==" saltValue="Pra3UZfT1C75mFe2Jkq9+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0.84813568024281538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0.85330919492324142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0.85597924372333845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0.85384731646409051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0.84988067526891253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0.85325778104835359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0.8551992843959888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0.85208764512559776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0.76332211221853385</v>
      </c>
      <c r="E10" s="90">
        <f>E3*0.9</f>
        <v>0.76797827543091735</v>
      </c>
      <c r="F10" s="90">
        <f>F3*0.9</f>
        <v>0.77038131935100462</v>
      </c>
      <c r="G10" s="90">
        <f>G3*0.9</f>
        <v>0.76846258481768148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0.76489260774202128</v>
      </c>
      <c r="E12" s="90">
        <f>E5*0.9</f>
        <v>0.76793200294351827</v>
      </c>
      <c r="F12" s="90">
        <f>F5*0.9</f>
        <v>0.76967935595638992</v>
      </c>
      <c r="G12" s="90">
        <f>G5*0.9</f>
        <v>0.76687888061303799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0.8905424642549562</v>
      </c>
      <c r="E17" s="90">
        <f>E3*1.05</f>
        <v>0.89597465466940351</v>
      </c>
      <c r="F17" s="90">
        <f>F3*1.05</f>
        <v>0.89877820590950541</v>
      </c>
      <c r="G17" s="90">
        <f>G3*1.05</f>
        <v>0.89653968228729508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0.89237470903235816</v>
      </c>
      <c r="E19" s="90">
        <f>E5*1.05</f>
        <v>0.89592067010077125</v>
      </c>
      <c r="F19" s="90">
        <f>F5*1.05</f>
        <v>0.89795924861578824</v>
      </c>
      <c r="G19" s="90">
        <f>G5*1.05</f>
        <v>0.8946920273818777</v>
      </c>
    </row>
  </sheetData>
  <sheetProtection algorithmName="SHA-512" hashValue="wJQy7H5CmbUYIVGeCUXCUZZUJUg+dv7Ly2kDSH17i4cZNowWMrsG4WL1XVcwX9IgLXze/1P38NSe0ILTn0Rfcw==" saltValue="5/0vHo1BRFhf9mT252aJZ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gp7f73q6B9SNtjegGOz7ukNflE2Vf33XNzz6/qLBZ7rMMjZpiKLov6AI+LlhZTHeea2C3h0W1QiR37kG1uSKiQ==" saltValue="tlCKRUfsVk4UToMvVKo5K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GDCmcxyS1k4PQmNx8oPrdvjxTLa/ctIU/AmLQysBjvutipyRF/vIiOkUgf2uFPqdA6s8qdLAPBJQEifGg8XU6g==" saltValue="xsd1nDwA/TlGHM1a1b+NZ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4.3603382167659941E-3</v>
      </c>
    </row>
    <row r="4" spans="1:8" ht="15.75" customHeight="1" x14ac:dyDescent="0.25">
      <c r="B4" s="19" t="s">
        <v>97</v>
      </c>
      <c r="C4" s="101">
        <v>0.14701010160313199</v>
      </c>
    </row>
    <row r="5" spans="1:8" ht="15.75" customHeight="1" x14ac:dyDescent="0.25">
      <c r="B5" s="19" t="s">
        <v>95</v>
      </c>
      <c r="C5" s="101">
        <v>5.3609855123068283E-2</v>
      </c>
    </row>
    <row r="6" spans="1:8" ht="15.75" customHeight="1" x14ac:dyDescent="0.25">
      <c r="B6" s="19" t="s">
        <v>91</v>
      </c>
      <c r="C6" s="101">
        <v>0.2162137753057867</v>
      </c>
    </row>
    <row r="7" spans="1:8" ht="15.75" customHeight="1" x14ac:dyDescent="0.25">
      <c r="B7" s="19" t="s">
        <v>96</v>
      </c>
      <c r="C7" s="101">
        <v>0.33181102342707031</v>
      </c>
    </row>
    <row r="8" spans="1:8" ht="15.75" customHeight="1" x14ac:dyDescent="0.25">
      <c r="B8" s="19" t="s">
        <v>98</v>
      </c>
      <c r="C8" s="101">
        <v>3.6051720156557391E-3</v>
      </c>
    </row>
    <row r="9" spans="1:8" ht="15.75" customHeight="1" x14ac:dyDescent="0.25">
      <c r="B9" s="19" t="s">
        <v>92</v>
      </c>
      <c r="C9" s="101">
        <v>0.1525867079247388</v>
      </c>
    </row>
    <row r="10" spans="1:8" ht="15.75" customHeight="1" x14ac:dyDescent="0.25">
      <c r="B10" s="19" t="s">
        <v>94</v>
      </c>
      <c r="C10" s="101">
        <v>9.0803026383782057E-2</v>
      </c>
    </row>
    <row r="11" spans="1:8" ht="15.75" customHeight="1" x14ac:dyDescent="0.25">
      <c r="B11" s="27" t="s">
        <v>60</v>
      </c>
      <c r="C11" s="48">
        <f>SUM(C3:C10)</f>
        <v>0.99999999999999978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0.11735469313435649</v>
      </c>
      <c r="D14" s="55">
        <v>0.11735469313435649</v>
      </c>
      <c r="E14" s="55">
        <v>0.11735469313435649</v>
      </c>
      <c r="F14" s="55">
        <v>0.11735469313435649</v>
      </c>
    </row>
    <row r="15" spans="1:8" ht="15.75" customHeight="1" x14ac:dyDescent="0.25">
      <c r="B15" s="19" t="s">
        <v>102</v>
      </c>
      <c r="C15" s="101">
        <v>0.21624788806654399</v>
      </c>
      <c r="D15" s="101">
        <v>0.21624788806654399</v>
      </c>
      <c r="E15" s="101">
        <v>0.21624788806654399</v>
      </c>
      <c r="F15" s="101">
        <v>0.21624788806654399</v>
      </c>
    </row>
    <row r="16" spans="1:8" ht="15.75" customHeight="1" x14ac:dyDescent="0.25">
      <c r="B16" s="19" t="s">
        <v>2</v>
      </c>
      <c r="C16" s="101">
        <v>1.443995053935335E-2</v>
      </c>
      <c r="D16" s="101">
        <v>1.443995053935335E-2</v>
      </c>
      <c r="E16" s="101">
        <v>1.443995053935335E-2</v>
      </c>
      <c r="F16" s="101">
        <v>1.443995053935335E-2</v>
      </c>
    </row>
    <row r="17" spans="1:8" ht="15.75" customHeight="1" x14ac:dyDescent="0.25">
      <c r="B17" s="19" t="s">
        <v>90</v>
      </c>
      <c r="C17" s="101">
        <v>1.018573356396072E-4</v>
      </c>
      <c r="D17" s="101">
        <v>1.018573356396072E-4</v>
      </c>
      <c r="E17" s="101">
        <v>1.018573356396072E-4</v>
      </c>
      <c r="F17" s="101">
        <v>1.018573356396072E-4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2.086458339485776E-2</v>
      </c>
      <c r="D19" s="101">
        <v>2.086458339485776E-2</v>
      </c>
      <c r="E19" s="101">
        <v>2.086458339485776E-2</v>
      </c>
      <c r="F19" s="101">
        <v>2.086458339485776E-2</v>
      </c>
    </row>
    <row r="20" spans="1:8" ht="15.75" customHeight="1" x14ac:dyDescent="0.25">
      <c r="B20" s="19" t="s">
        <v>79</v>
      </c>
      <c r="C20" s="101">
        <v>6.999358928028044E-3</v>
      </c>
      <c r="D20" s="101">
        <v>6.999358928028044E-3</v>
      </c>
      <c r="E20" s="101">
        <v>6.999358928028044E-3</v>
      </c>
      <c r="F20" s="101">
        <v>6.999358928028044E-3</v>
      </c>
    </row>
    <row r="21" spans="1:8" ht="15.75" customHeight="1" x14ac:dyDescent="0.25">
      <c r="B21" s="19" t="s">
        <v>88</v>
      </c>
      <c r="C21" s="101">
        <v>0.16831474342217051</v>
      </c>
      <c r="D21" s="101">
        <v>0.16831474342217051</v>
      </c>
      <c r="E21" s="101">
        <v>0.16831474342217051</v>
      </c>
      <c r="F21" s="101">
        <v>0.16831474342217051</v>
      </c>
    </row>
    <row r="22" spans="1:8" ht="15.75" customHeight="1" x14ac:dyDescent="0.25">
      <c r="B22" s="19" t="s">
        <v>99</v>
      </c>
      <c r="C22" s="101">
        <v>0.45567692517905017</v>
      </c>
      <c r="D22" s="101">
        <v>0.45567692517905017</v>
      </c>
      <c r="E22" s="101">
        <v>0.45567692517905017</v>
      </c>
      <c r="F22" s="101">
        <v>0.45567692517905017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2.9403015000000001E-2</v>
      </c>
    </row>
    <row r="27" spans="1:8" ht="15.75" customHeight="1" x14ac:dyDescent="0.25">
      <c r="B27" s="19" t="s">
        <v>89</v>
      </c>
      <c r="C27" s="101">
        <v>9.4778499999999995E-3</v>
      </c>
    </row>
    <row r="28" spans="1:8" ht="15.75" customHeight="1" x14ac:dyDescent="0.25">
      <c r="B28" s="19" t="s">
        <v>103</v>
      </c>
      <c r="C28" s="101">
        <v>0.26792401599999999</v>
      </c>
    </row>
    <row r="29" spans="1:8" ht="15.75" customHeight="1" x14ac:dyDescent="0.25">
      <c r="B29" s="19" t="s">
        <v>86</v>
      </c>
      <c r="C29" s="101">
        <v>0.15314538599999999</v>
      </c>
    </row>
    <row r="30" spans="1:8" ht="15.75" customHeight="1" x14ac:dyDescent="0.25">
      <c r="B30" s="19" t="s">
        <v>4</v>
      </c>
      <c r="C30" s="101">
        <v>8.2032367999999994E-2</v>
      </c>
    </row>
    <row r="31" spans="1:8" ht="15.75" customHeight="1" x14ac:dyDescent="0.25">
      <c r="B31" s="19" t="s">
        <v>80</v>
      </c>
      <c r="C31" s="101">
        <v>7.4517409999999996E-3</v>
      </c>
    </row>
    <row r="32" spans="1:8" ht="15.75" customHeight="1" x14ac:dyDescent="0.25">
      <c r="B32" s="19" t="s">
        <v>85</v>
      </c>
      <c r="C32" s="101">
        <v>1.1600134E-2</v>
      </c>
    </row>
    <row r="33" spans="2:3" ht="15.75" customHeight="1" x14ac:dyDescent="0.25">
      <c r="B33" s="19" t="s">
        <v>100</v>
      </c>
      <c r="C33" s="101">
        <v>0.249526525</v>
      </c>
    </row>
    <row r="34" spans="2:3" ht="15.75" customHeight="1" x14ac:dyDescent="0.25">
      <c r="B34" s="19" t="s">
        <v>87</v>
      </c>
      <c r="C34" s="101">
        <v>0.18943896499999999</v>
      </c>
    </row>
    <row r="35" spans="2:3" ht="15.75" customHeight="1" x14ac:dyDescent="0.25">
      <c r="B35" s="27" t="s">
        <v>60</v>
      </c>
      <c r="C35" s="48">
        <f>SUM(C26:C34)</f>
        <v>1</v>
      </c>
    </row>
  </sheetData>
  <sheetProtection algorithmName="SHA-512" hashValue="x4WujkBO72ULH50f2lyD17LTisj/bMCOEHV65+PBq5SHbfTM6Gg3mX8e+PwWkzT2ECwuoWCjIZTVN8VNShSm1g==" saltValue="RLCmlXLmEP/9Qfv9VGMor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0.42180623991642618</v>
      </c>
      <c r="D2" s="52">
        <f>IFERROR(1-_xlfn.NORM.DIST(_xlfn.NORM.INV(SUM(D4:D5), 0, 1) + 1, 0, 1, TRUE), "")</f>
        <v>0.42180623991642618</v>
      </c>
      <c r="E2" s="52">
        <f>IFERROR(1-_xlfn.NORM.DIST(_xlfn.NORM.INV(SUM(E4:E5), 0, 1) + 1, 0, 1, TRUE), "")</f>
        <v>0.42890958248626765</v>
      </c>
      <c r="F2" s="52">
        <f>IFERROR(1-_xlfn.NORM.DIST(_xlfn.NORM.INV(SUM(F4:F5), 0, 1) + 1, 0, 1, TRUE), "")</f>
        <v>0.37923907675824298</v>
      </c>
      <c r="G2" s="52">
        <f>IFERROR(1-_xlfn.NORM.DIST(_xlfn.NORM.INV(SUM(G4:G5), 0, 1) + 1, 0, 1, TRUE), "")</f>
        <v>0.39092603846970264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0.36712696108357379</v>
      </c>
      <c r="D3" s="52">
        <f>IFERROR(_xlfn.NORM.DIST(_xlfn.NORM.INV(SUM(D4:D5), 0, 1) + 1, 0, 1, TRUE) - SUM(D4:D5), "")</f>
        <v>0.36712696108357379</v>
      </c>
      <c r="E3" s="52">
        <f>IFERROR(_xlfn.NORM.DIST(_xlfn.NORM.INV(SUM(E4:E5), 0, 1) + 1, 0, 1, TRUE) - SUM(E4:E5), "")</f>
        <v>0.36522428551373232</v>
      </c>
      <c r="F3" s="52">
        <f>IFERROR(_xlfn.NORM.DIST(_xlfn.NORM.INV(SUM(F4:F5), 0, 1) + 1, 0, 1, TRUE) - SUM(F4:F5), "")</f>
        <v>0.376455553241757</v>
      </c>
      <c r="G3" s="52">
        <f>IFERROR(_xlfn.NORM.DIST(_xlfn.NORM.INV(SUM(G4:G5), 0, 1) + 1, 0, 1, TRUE) - SUM(G4:G5), "")</f>
        <v>0.37426281053029736</v>
      </c>
    </row>
    <row r="4" spans="1:15" ht="15.75" customHeight="1" x14ac:dyDescent="0.25">
      <c r="B4" s="5" t="s">
        <v>110</v>
      </c>
      <c r="C4" s="45">
        <v>0.12095047</v>
      </c>
      <c r="D4" s="53">
        <v>0.12095047</v>
      </c>
      <c r="E4" s="53">
        <v>0.11491282</v>
      </c>
      <c r="F4" s="53">
        <v>0.11879335000000001</v>
      </c>
      <c r="G4" s="53">
        <v>0.14242047999999999</v>
      </c>
    </row>
    <row r="5" spans="1:15" ht="15.75" customHeight="1" x14ac:dyDescent="0.25">
      <c r="B5" s="5" t="s">
        <v>106</v>
      </c>
      <c r="C5" s="45">
        <v>9.0116329000000009E-2</v>
      </c>
      <c r="D5" s="53">
        <v>9.0116329000000009E-2</v>
      </c>
      <c r="E5" s="53">
        <v>9.0953312000000008E-2</v>
      </c>
      <c r="F5" s="53">
        <v>0.12551202</v>
      </c>
      <c r="G5" s="53">
        <v>9.2390670999999994E-2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0.48294426390220802</v>
      </c>
      <c r="D8" s="52">
        <f>IFERROR(1-_xlfn.NORM.DIST(_xlfn.NORM.INV(SUM(D10:D11), 0, 1) + 1, 0, 1, TRUE), "")</f>
        <v>0.48294426390220802</v>
      </c>
      <c r="E8" s="52">
        <f>IFERROR(1-_xlfn.NORM.DIST(_xlfn.NORM.INV(SUM(E10:E11), 0, 1) + 1, 0, 1, TRUE), "")</f>
        <v>0.59698990482199743</v>
      </c>
      <c r="F8" s="52">
        <f>IFERROR(1-_xlfn.NORM.DIST(_xlfn.NORM.INV(SUM(F10:F11), 0, 1) + 1, 0, 1, TRUE), "")</f>
        <v>0.68020865467253133</v>
      </c>
      <c r="G8" s="52">
        <f>IFERROR(1-_xlfn.NORM.DIST(_xlfn.NORM.INV(SUM(G10:G11), 0, 1) + 1, 0, 1, TRUE), "")</f>
        <v>0.58722861355659517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0.34783130209779201</v>
      </c>
      <c r="D9" s="52">
        <f>IFERROR(_xlfn.NORM.DIST(_xlfn.NORM.INV(SUM(D10:D11), 0, 1) + 1, 0, 1, TRUE) - SUM(D10:D11), "")</f>
        <v>0.34783130209779201</v>
      </c>
      <c r="E9" s="52">
        <f>IFERROR(_xlfn.NORM.DIST(_xlfn.NORM.INV(SUM(E10:E11), 0, 1) + 1, 0, 1, TRUE) - SUM(E10:E11), "")</f>
        <v>0.29654774017800256</v>
      </c>
      <c r="F9" s="52">
        <f>IFERROR(_xlfn.NORM.DIST(_xlfn.NORM.INV(SUM(F10:F11), 0, 1) + 1, 0, 1, TRUE) - SUM(F10:F11), "")</f>
        <v>0.24877757332746867</v>
      </c>
      <c r="G9" s="52">
        <f>IFERROR(_xlfn.NORM.DIST(_xlfn.NORM.INV(SUM(G10:G11), 0, 1) + 1, 0, 1, TRUE) - SUM(G10:G11), "")</f>
        <v>0.30161885244340481</v>
      </c>
    </row>
    <row r="10" spans="1:15" ht="15.75" customHeight="1" x14ac:dyDescent="0.25">
      <c r="B10" s="5" t="s">
        <v>107</v>
      </c>
      <c r="C10" s="45">
        <v>7.8382025000000008E-2</v>
      </c>
      <c r="D10" s="53">
        <v>7.8382025000000008E-2</v>
      </c>
      <c r="E10" s="53">
        <v>5.3425589000000002E-2</v>
      </c>
      <c r="F10" s="53">
        <v>3.8551104000000003E-2</v>
      </c>
      <c r="G10" s="53">
        <v>6.2201786000000002E-2</v>
      </c>
    </row>
    <row r="11" spans="1:15" ht="15.75" customHeight="1" x14ac:dyDescent="0.25">
      <c r="B11" s="5" t="s">
        <v>119</v>
      </c>
      <c r="C11" s="45">
        <v>9.0842408999999999E-2</v>
      </c>
      <c r="D11" s="53">
        <v>9.0842408999999999E-2</v>
      </c>
      <c r="E11" s="53">
        <v>5.3036765999999999E-2</v>
      </c>
      <c r="F11" s="53">
        <v>3.2462668E-2</v>
      </c>
      <c r="G11" s="53">
        <v>4.8950748000000002E-2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0.36986040149999999</v>
      </c>
      <c r="D14" s="54">
        <v>0.397561844474</v>
      </c>
      <c r="E14" s="54">
        <v>0.397561844474</v>
      </c>
      <c r="F14" s="54">
        <v>0.34443006445199997</v>
      </c>
      <c r="G14" s="54">
        <v>0.34443006445199997</v>
      </c>
      <c r="H14" s="45">
        <v>0.40400000000000008</v>
      </c>
      <c r="I14" s="55">
        <v>0.40400000000000008</v>
      </c>
      <c r="J14" s="55">
        <v>0.40400000000000008</v>
      </c>
      <c r="K14" s="55">
        <v>0.40400000000000008</v>
      </c>
      <c r="L14" s="45">
        <v>0.36699999999999999</v>
      </c>
      <c r="M14" s="55">
        <v>0.36699999999999999</v>
      </c>
      <c r="N14" s="55">
        <v>0.36699999999999999</v>
      </c>
      <c r="O14" s="55">
        <v>0.36699999999999999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0.20560391775224393</v>
      </c>
      <c r="D15" s="52">
        <f t="shared" si="0"/>
        <v>0.22100303909571864</v>
      </c>
      <c r="E15" s="52">
        <f t="shared" si="0"/>
        <v>0.22100303909571864</v>
      </c>
      <c r="F15" s="52">
        <f t="shared" si="0"/>
        <v>0.19146729510860891</v>
      </c>
      <c r="G15" s="52">
        <f t="shared" si="0"/>
        <v>0.19146729510860891</v>
      </c>
      <c r="H15" s="52">
        <f t="shared" si="0"/>
        <v>0.22458198399999998</v>
      </c>
      <c r="I15" s="52">
        <f t="shared" si="0"/>
        <v>0.22458198399999998</v>
      </c>
      <c r="J15" s="52">
        <f t="shared" si="0"/>
        <v>0.22458198399999998</v>
      </c>
      <c r="K15" s="52">
        <f t="shared" si="0"/>
        <v>0.22458198399999998</v>
      </c>
      <c r="L15" s="52">
        <f t="shared" si="0"/>
        <v>0.20401383199999992</v>
      </c>
      <c r="M15" s="52">
        <f t="shared" si="0"/>
        <v>0.20401383199999992</v>
      </c>
      <c r="N15" s="52">
        <f t="shared" si="0"/>
        <v>0.20401383199999992</v>
      </c>
      <c r="O15" s="52">
        <f t="shared" si="0"/>
        <v>0.20401383199999992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FK24uhazOtxscpCESHoVkZSv453ISYvD/4U29Mfjb0/AAVwNQCV/WKaJlcJUhMWRZ/LaMHFMtC5bIVDmf4DnMg==" saltValue="vmNipsevVifbRuy0oV+DT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0.62008744478225697</v>
      </c>
      <c r="D2" s="53">
        <v>0.26531189999999999</v>
      </c>
      <c r="E2" s="53"/>
      <c r="F2" s="53"/>
      <c r="G2" s="53"/>
    </row>
    <row r="3" spans="1:7" x14ac:dyDescent="0.25">
      <c r="B3" s="3" t="s">
        <v>127</v>
      </c>
      <c r="C3" s="53">
        <v>8.8325507938861791E-2</v>
      </c>
      <c r="D3" s="53">
        <v>0.1554044</v>
      </c>
      <c r="E3" s="53"/>
      <c r="F3" s="53"/>
      <c r="G3" s="53"/>
    </row>
    <row r="4" spans="1:7" x14ac:dyDescent="0.25">
      <c r="B4" s="3" t="s">
        <v>126</v>
      </c>
      <c r="C4" s="53">
        <v>0.230183616280556</v>
      </c>
      <c r="D4" s="53">
        <v>0.45311059999999997</v>
      </c>
      <c r="E4" s="53">
        <v>0.75188356637954701</v>
      </c>
      <c r="F4" s="53">
        <v>0.35143938660621599</v>
      </c>
      <c r="G4" s="53"/>
    </row>
    <row r="5" spans="1:7" x14ac:dyDescent="0.25">
      <c r="B5" s="3" t="s">
        <v>125</v>
      </c>
      <c r="C5" s="52">
        <v>6.1403438448905903E-2</v>
      </c>
      <c r="D5" s="52">
        <v>0.12617306411266299</v>
      </c>
      <c r="E5" s="52">
        <f>1-SUM(E2:E4)</f>
        <v>0.24811643362045299</v>
      </c>
      <c r="F5" s="52">
        <f>1-SUM(F2:F4)</f>
        <v>0.64856061339378401</v>
      </c>
      <c r="G5" s="52">
        <f>1-SUM(G2:G4)</f>
        <v>1</v>
      </c>
    </row>
  </sheetData>
  <sheetProtection algorithmName="SHA-512" hashValue="KYzzri7ddkiUGE1Moz9qtx8x/hCivy64xWez7qdLL2XYEgLXzb979j4vLbVtTLbDOItcjk44sq1kQbbts3q4yw==" saltValue="svjfMW6L5ribOvWYLpBxV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SdsG01MtqgQKueSTj9T1lu2X5h2hvw19HfmNwEl9xlqexNu6TliwUk3WiX6Lli3fhAqzXBweNf+SaaHEGLUZ1A==" saltValue="GC4XmtN6f9t7C92t7QPZP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71UtmQ/ABoNv8Op0wGoYn760H4L+RsLOs9N7OVOUf5BQ36isEai5P2MVICl3z33i4EtPk8ggzyuAcmwg/zJK8w==" saltValue="ptJgJemkSgIEv9Z7r+Gx/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Sg3iQxSrYW9RcK8S8uwPH4eo6PRl4mKTifoTT5CAvmYKhinOoGGXhiqKQl9fwdyHbwjJUZnwPRmf8AXjB7WBGw==" saltValue="MOMLJU1jyo1El2Aekx1aH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ZqV8jwcaOgtgpSV75RZoptWZ5Mv3HcT6IboC5pa7ITZk/r21xAlFoRCiwfxpF1pUV4x9bhUdryPeOEVfI2/oFg==" saltValue="xi/aDmkTxuzoLyoaWmNvr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2024-03-15T02:20:41Z</dcterms:modified>
</cp:coreProperties>
</file>