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es\LiST countries\"/>
    </mc:Choice>
  </mc:AlternateContent>
  <xr:revisionPtr revIDLastSave="0" documentId="8_{64AECBB4-2E16-4469-AE14-3812AA13B49F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E114" i="27"/>
  <c r="D114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E59" i="27"/>
  <c r="D59" i="27"/>
  <c r="E58" i="27"/>
  <c r="D58" i="27"/>
  <c r="H57" i="27"/>
  <c r="G57" i="27"/>
  <c r="F57" i="27"/>
  <c r="E57" i="27"/>
  <c r="D57" i="27"/>
  <c r="F19" i="26"/>
  <c r="D19" i="26"/>
  <c r="C19" i="26"/>
  <c r="C17" i="26"/>
  <c r="C12" i="26"/>
  <c r="C10" i="26"/>
  <c r="G5" i="26"/>
  <c r="G19" i="26" s="1"/>
  <c r="F5" i="26"/>
  <c r="F12" i="26" s="1"/>
  <c r="E5" i="26"/>
  <c r="E12" i="26" s="1"/>
  <c r="D5" i="26"/>
  <c r="D12" i="26" s="1"/>
  <c r="G3" i="26"/>
  <c r="G10" i="26" s="1"/>
  <c r="F3" i="26"/>
  <c r="F17" i="26" s="1"/>
  <c r="E3" i="26"/>
  <c r="E17" i="26" s="1"/>
  <c r="D3" i="26"/>
  <c r="D17" i="26" s="1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F32" i="24"/>
  <c r="E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F19" i="24"/>
  <c r="E19" i="24"/>
  <c r="F17" i="24"/>
  <c r="E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G40" i="2"/>
  <c r="I40" i="2" s="1"/>
  <c r="H39" i="2"/>
  <c r="I39" i="2" s="1"/>
  <c r="G39" i="2"/>
  <c r="A39" i="2"/>
  <c r="H38" i="2"/>
  <c r="G38" i="2"/>
  <c r="A38" i="2"/>
  <c r="A34" i="2"/>
  <c r="A33" i="2"/>
  <c r="A31" i="2"/>
  <c r="A30" i="2"/>
  <c r="A29" i="2"/>
  <c r="A26" i="2"/>
  <c r="A24" i="2"/>
  <c r="A23" i="2"/>
  <c r="A21" i="2"/>
  <c r="A18" i="2"/>
  <c r="A17" i="2"/>
  <c r="A16" i="2"/>
  <c r="A14" i="2"/>
  <c r="A13" i="2"/>
  <c r="H11" i="2"/>
  <c r="G11" i="2"/>
  <c r="I11" i="2" s="1"/>
  <c r="H10" i="2"/>
  <c r="G10" i="2"/>
  <c r="H9" i="2"/>
  <c r="G9" i="2"/>
  <c r="H8" i="2"/>
  <c r="G8" i="2"/>
  <c r="I8" i="2" s="1"/>
  <c r="H7" i="2"/>
  <c r="G7" i="2"/>
  <c r="I7" i="2" s="1"/>
  <c r="H6" i="2"/>
  <c r="G6" i="2"/>
  <c r="H5" i="2"/>
  <c r="G5" i="2"/>
  <c r="H4" i="2"/>
  <c r="G4" i="2"/>
  <c r="I4" i="2" s="1"/>
  <c r="H3" i="2"/>
  <c r="G3" i="2"/>
  <c r="I3" i="2" s="1"/>
  <c r="A3" i="2"/>
  <c r="H2" i="2"/>
  <c r="G2" i="2"/>
  <c r="I2" i="2" s="1"/>
  <c r="A2" i="2"/>
  <c r="A36" i="2" s="1"/>
  <c r="C33" i="1"/>
  <c r="C20" i="1"/>
  <c r="G17" i="26" l="1"/>
  <c r="A22" i="2"/>
  <c r="A32" i="2"/>
  <c r="E10" i="26"/>
  <c r="I5" i="2"/>
  <c r="I9" i="2"/>
  <c r="A15" i="2"/>
  <c r="A25" i="2"/>
  <c r="A37" i="2"/>
  <c r="A40" i="2"/>
  <c r="I6" i="2"/>
  <c r="I10" i="2"/>
  <c r="I38" i="2"/>
  <c r="D10" i="26"/>
  <c r="G12" i="26"/>
  <c r="E19" i="26"/>
  <c r="F10" i="26"/>
  <c r="A19" i="2"/>
  <c r="A27" i="2"/>
  <c r="A35" i="2"/>
  <c r="A4" i="2"/>
  <c r="A5" i="2" s="1"/>
  <c r="A6" i="2"/>
  <c r="A7" i="2" s="1"/>
  <c r="A8" i="2" s="1"/>
  <c r="A9" i="2" s="1"/>
  <c r="A10" i="2" s="1"/>
  <c r="A11" i="2" s="1"/>
  <c r="A12" i="2"/>
  <c r="A20" i="2"/>
  <c r="A2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C12" authorId="1" shapeId="0" xr:uid="{00000000-0006-0000-1600-000009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A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B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C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D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0F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0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2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5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6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7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9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A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2" authorId="0" shapeId="0" xr:uid="{00000000-0006-0000-1700-000001000000}">
      <text>
        <r>
          <rPr>
            <sz val="10"/>
            <color rgb="FF000000"/>
            <rFont val="Arial"/>
          </rPr>
          <t>Tharindu Wickramaarachchi:
1-RRR</t>
        </r>
      </text>
    </comment>
    <comment ref="C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D2" authorId="0" shapeId="0" xr:uid="{00000000-0006-0000-1700-000003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C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4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6" authorId="0" shapeId="0" xr:uid="{00000000-0006-0000-1700-000007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A8" authorId="0" shapeId="0" xr:uid="{00000000-0006-0000-1700-000008000000}">
      <text>
        <r>
          <rPr>
            <sz val="10"/>
            <color rgb="FF000000"/>
            <rFont val="Arial"/>
          </rPr>
          <t>Tharindu Wickramaarachchi:
1-RRR</t>
        </r>
      </text>
    </comment>
    <comment ref="C8" authorId="0" shapeId="0" xr:uid="{00000000-0006-0000-1700-000009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D8" authorId="0" shapeId="0" xr:uid="{00000000-0006-0000-1700-00000A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A10" authorId="0" shapeId="0" xr:uid="{00000000-0006-0000-1700-00000B000000}">
      <text>
        <r>
          <rPr>
            <sz val="10"/>
            <color rgb="FF000000"/>
            <rFont val="Arial"/>
          </rPr>
          <t>Tharindu Wickramaarachchi:
1-RRR</t>
        </r>
      </text>
    </comment>
    <comment ref="C10" authorId="0" shapeId="0" xr:uid="{00000000-0006-0000-1700-00000C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D10" authorId="0" shapeId="0" xr:uid="{00000000-0006-0000-1700-00000D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C12" authorId="0" shapeId="0" xr:uid="{00000000-0006-0000-1700-00000E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12" authorId="0" shapeId="0" xr:uid="{00000000-0006-0000-1700-00000F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27" authorId="0" shapeId="0" xr:uid="{00000000-0006-0000-1700-000010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1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42" authorId="0" shapeId="0" xr:uid="{00000000-0006-0000-1700-000012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1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12" authorId="0" shapeId="0" xr:uid="{00000000-0006-0000-1800-00001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1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0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14" authorId="0" shapeId="0" xr:uid="{00000000-0006-0000-1800-000022000000}">
      <text>
        <r>
          <rPr>
            <sz val="10"/>
            <color rgb="FF000000"/>
            <rFont val="Arial"/>
          </rPr>
          <t>Tharindu Wickramaarachchi:
RR not statistically significant</t>
        </r>
      </text>
    </comment>
    <comment ref="E15" authorId="0" shapeId="0" xr:uid="{00000000-0006-0000-1800-000023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F15" authorId="0" shapeId="0" xr:uid="{00000000-0006-0000-1800-000024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E18" authorId="0" shapeId="0" xr:uid="{00000000-0006-0000-1800-000025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6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7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8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9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infact as identified no significant effect
Imdad et al 2023, RR 1.01 (95% CI 0.95 to 1.08)</t>
        </r>
      </text>
    </comment>
    <comment ref="D49" authorId="0" shapeId="0" xr:uid="{00000000-0006-0000-1A00-000027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8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9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A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2C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2D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2E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2F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8" authorId="0" shapeId="0" xr:uid="{00000000-0006-0000-1A00-00003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9" authorId="0" shapeId="0" xr:uid="{00000000-0006-0000-1A00-000037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38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13" authorId="0" shapeId="0" xr:uid="{00000000-0006-0000-1A00-000039000000}">
      <text>
        <r>
          <rPr>
            <sz val="10"/>
            <color rgb="FF000000"/>
            <rFont val="Arial"/>
          </rPr>
          <t>Tharindu Wickramaarachchi:
Using CI</t>
        </r>
      </text>
    </comment>
    <comment ref="F114" authorId="0" shapeId="0" xr:uid="{00000000-0006-0000-1A00-00003A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4" authorId="0" shapeId="0" xr:uid="{00000000-0006-0000-1A00-00003B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6" authorId="0" shapeId="0" xr:uid="{00000000-0006-0000-1A00-00003C000000}">
      <text>
        <r>
          <rPr>
            <sz val="10"/>
            <color rgb="FF000000"/>
            <rFont val="Arial"/>
          </rPr>
          <t>Tharindu Wickramaarachchi:
Using CI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A36" authorId="1" shapeId="0" xr:uid="{00000000-0006-0000-1300-00000B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C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D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0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1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4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5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6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9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A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D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1E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<sst xmlns="http://schemas.openxmlformats.org/spreadsheetml/2006/main" count="2092" uniqueCount="341">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</sst>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19</v>
      </c>
      <c r="B1" s="29" t="s">
        <v>0</v>
      </c>
      <c r="C1" s="29" t="s">
        <v>24</v>
      </c>
    </row>
    <row r="2" spans="1:3" ht="15.9" customHeight="1" x14ac:dyDescent="0.3">
      <c r="A2" s="8" t="s">
        <v>55</v>
      </c>
      <c r="B2" s="29"/>
      <c r="C2" s="29"/>
    </row>
    <row r="3" spans="1:3" ht="15.9" customHeight="1" x14ac:dyDescent="0.3">
      <c r="A3" s="1"/>
      <c r="B3" s="5" t="s">
        <v>18</v>
      </c>
      <c r="C3" s="41">
        <v>2021</v>
      </c>
    </row>
    <row r="4" spans="1:3" ht="15.9" customHeight="1" x14ac:dyDescent="0.3">
      <c r="A4" s="1"/>
      <c r="B4" s="5" t="s">
        <v>26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50</v>
      </c>
    </row>
    <row r="7" spans="1:3" ht="15" customHeight="1" x14ac:dyDescent="0.25">
      <c r="B7" s="11" t="s">
        <v>23</v>
      </c>
      <c r="C7" s="43">
        <v>34872855.5</v>
      </c>
    </row>
    <row r="8" spans="1:3" ht="15" customHeight="1" x14ac:dyDescent="0.25">
      <c r="B8" s="5" t="s">
        <v>44</v>
      </c>
      <c r="C8" s="44">
        <v>0.53500000000000003</v>
      </c>
    </row>
    <row r="9" spans="1:3" ht="15" customHeight="1" x14ac:dyDescent="0.25">
      <c r="B9" s="5" t="s">
        <v>43</v>
      </c>
      <c r="C9" s="45">
        <v>0.99</v>
      </c>
    </row>
    <row r="10" spans="1:3" ht="15" customHeight="1" x14ac:dyDescent="0.25">
      <c r="B10" s="5" t="s">
        <v>56</v>
      </c>
      <c r="C10" s="45">
        <v>0.32603321079999997</v>
      </c>
    </row>
    <row r="11" spans="1:3" ht="15" customHeight="1" x14ac:dyDescent="0.25">
      <c r="B11" s="5" t="s">
        <v>49</v>
      </c>
      <c r="C11" s="45">
        <v>0.51100000000000001</v>
      </c>
    </row>
    <row r="12" spans="1:3" ht="15" customHeight="1" x14ac:dyDescent="0.25">
      <c r="B12" s="5" t="s">
        <v>41</v>
      </c>
      <c r="C12" s="45">
        <v>0.23699999999999999</v>
      </c>
    </row>
    <row r="13" spans="1:3" ht="15" customHeight="1" x14ac:dyDescent="0.25">
      <c r="B13" s="5" t="s">
        <v>62</v>
      </c>
      <c r="C13" s="45">
        <v>0.73699999999999999</v>
      </c>
    </row>
    <row r="14" spans="1:3" ht="15" customHeight="1" x14ac:dyDescent="0.25">
      <c r="B14" s="8"/>
    </row>
    <row r="15" spans="1:3" ht="15" customHeight="1" x14ac:dyDescent="0.3">
      <c r="A15" s="8" t="s">
        <v>28</v>
      </c>
      <c r="B15" s="14"/>
      <c r="C15" s="3"/>
    </row>
    <row r="16" spans="1:3" ht="15" customHeight="1" x14ac:dyDescent="0.25">
      <c r="B16" s="5" t="s">
        <v>33</v>
      </c>
      <c r="C16" s="45">
        <v>0.1</v>
      </c>
    </row>
    <row r="17" spans="1:3" ht="15" customHeight="1" x14ac:dyDescent="0.25">
      <c r="B17" s="5" t="s">
        <v>30</v>
      </c>
      <c r="C17" s="45">
        <v>0.7</v>
      </c>
    </row>
    <row r="18" spans="1:3" ht="15" customHeight="1" x14ac:dyDescent="0.25">
      <c r="B18" s="5" t="s">
        <v>31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34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12</v>
      </c>
    </row>
    <row r="23" spans="1:3" ht="15" customHeight="1" x14ac:dyDescent="0.25">
      <c r="B23" s="15" t="s">
        <v>45</v>
      </c>
      <c r="C23" s="45">
        <v>9.9700000000000011E-2</v>
      </c>
    </row>
    <row r="24" spans="1:3" ht="15" customHeight="1" x14ac:dyDescent="0.25">
      <c r="B24" s="15" t="s">
        <v>46</v>
      </c>
      <c r="C24" s="45">
        <v>0.43430000000000002</v>
      </c>
    </row>
    <row r="25" spans="1:3" ht="15" customHeight="1" x14ac:dyDescent="0.25">
      <c r="B25" s="15" t="s">
        <v>47</v>
      </c>
      <c r="C25" s="45">
        <v>0.35899999999999999</v>
      </c>
    </row>
    <row r="26" spans="1:3" ht="15" customHeight="1" x14ac:dyDescent="0.25">
      <c r="B26" s="15" t="s">
        <v>48</v>
      </c>
      <c r="C26" s="45">
        <v>0.107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22</v>
      </c>
      <c r="B28" s="15"/>
      <c r="C28" s="15"/>
    </row>
    <row r="29" spans="1:3" ht="14.25" customHeight="1" x14ac:dyDescent="0.25">
      <c r="B29" s="25" t="s">
        <v>27</v>
      </c>
      <c r="C29" s="45">
        <v>0.19748062010197501</v>
      </c>
    </row>
    <row r="30" spans="1:3" ht="14.25" customHeight="1" x14ac:dyDescent="0.25">
      <c r="B30" s="25" t="s">
        <v>63</v>
      </c>
      <c r="C30" s="99">
        <v>5.5679474090556798E-2</v>
      </c>
    </row>
    <row r="31" spans="1:3" ht="14.25" customHeight="1" x14ac:dyDescent="0.25">
      <c r="B31" s="25" t="s">
        <v>10</v>
      </c>
      <c r="C31" s="99">
        <v>0.13078694450130801</v>
      </c>
    </row>
    <row r="32" spans="1:3" ht="14.25" customHeight="1" x14ac:dyDescent="0.25">
      <c r="B32" s="25" t="s">
        <v>11</v>
      </c>
      <c r="C32" s="99">
        <v>0.61605296130616094</v>
      </c>
    </row>
    <row r="33" spans="1:5" ht="13" customHeight="1" x14ac:dyDescent="0.25">
      <c r="B33" s="27" t="s">
        <v>60</v>
      </c>
      <c r="C33" s="48">
        <f>SUM(C29:C32)</f>
        <v>1.0000000000000009</v>
      </c>
    </row>
    <row r="34" spans="1:5" ht="15" customHeight="1" x14ac:dyDescent="0.25"/>
    <row r="35" spans="1:5" ht="15" customHeight="1" x14ac:dyDescent="0.3">
      <c r="A35" s="4" t="s">
        <v>20</v>
      </c>
    </row>
    <row r="36" spans="1:5" ht="15" customHeight="1" x14ac:dyDescent="0.25">
      <c r="A36" s="8" t="s">
        <v>37</v>
      </c>
      <c r="B36" s="5"/>
    </row>
    <row r="37" spans="1:5" ht="15" customHeight="1" x14ac:dyDescent="0.25">
      <c r="B37" s="11" t="s">
        <v>38</v>
      </c>
      <c r="C37" s="43">
        <v>35.850665255437903</v>
      </c>
    </row>
    <row r="38" spans="1:5" ht="15" customHeight="1" x14ac:dyDescent="0.25">
      <c r="B38" s="11" t="s">
        <v>35</v>
      </c>
      <c r="C38" s="43">
        <v>74.160316590376794</v>
      </c>
      <c r="D38" s="12"/>
      <c r="E38" s="13"/>
    </row>
    <row r="39" spans="1:5" ht="15" customHeight="1" x14ac:dyDescent="0.25">
      <c r="B39" s="11" t="s">
        <v>61</v>
      </c>
      <c r="C39" s="43">
        <v>117.20207806947199</v>
      </c>
      <c r="D39" s="12"/>
      <c r="E39" s="12"/>
    </row>
    <row r="40" spans="1:5" ht="15" customHeight="1" x14ac:dyDescent="0.25">
      <c r="B40" s="11" t="s">
        <v>36</v>
      </c>
      <c r="C40" s="100">
        <v>9.17</v>
      </c>
    </row>
    <row r="41" spans="1:5" ht="15" customHeight="1" x14ac:dyDescent="0.25">
      <c r="B41" s="11" t="s">
        <v>32</v>
      </c>
      <c r="C41" s="45">
        <v>0.12</v>
      </c>
    </row>
    <row r="42" spans="1:5" ht="15" customHeight="1" x14ac:dyDescent="0.25">
      <c r="B42" s="11" t="s">
        <v>57</v>
      </c>
      <c r="C42" s="43">
        <v>22.246120860000001</v>
      </c>
    </row>
    <row r="43" spans="1:5" ht="15.75" customHeight="1" x14ac:dyDescent="0.25">
      <c r="D43" s="12"/>
    </row>
    <row r="44" spans="1:5" ht="15.75" customHeight="1" x14ac:dyDescent="0.25">
      <c r="A44" s="8" t="s">
        <v>21</v>
      </c>
      <c r="D44" s="12"/>
    </row>
    <row r="45" spans="1:5" ht="15.75" customHeight="1" x14ac:dyDescent="0.25">
      <c r="B45" s="11" t="s">
        <v>52</v>
      </c>
      <c r="C45" s="45">
        <v>3.4058000000000001E-3</v>
      </c>
      <c r="D45" s="12"/>
    </row>
    <row r="46" spans="1:5" ht="15.75" customHeight="1" x14ac:dyDescent="0.25">
      <c r="B46" s="11" t="s">
        <v>51</v>
      </c>
      <c r="C46" s="45">
        <v>0.10184840000000001</v>
      </c>
      <c r="D46" s="12"/>
    </row>
    <row r="47" spans="1:5" ht="15.75" customHeight="1" x14ac:dyDescent="0.25">
      <c r="B47" s="11" t="s">
        <v>59</v>
      </c>
      <c r="C47" s="45">
        <v>0.13982320000000001</v>
      </c>
      <c r="D47" s="12"/>
      <c r="E47" s="13"/>
    </row>
    <row r="48" spans="1:5" ht="15" customHeight="1" x14ac:dyDescent="0.25">
      <c r="B48" s="11" t="s">
        <v>58</v>
      </c>
      <c r="C48" s="46">
        <v>0.7549226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25</v>
      </c>
      <c r="D50" s="12"/>
    </row>
    <row r="51" spans="1:4" ht="15.75" customHeight="1" x14ac:dyDescent="0.25">
      <c r="B51" s="11" t="s">
        <v>17</v>
      </c>
      <c r="C51" s="100">
        <v>3.3</v>
      </c>
      <c r="D51" s="12"/>
    </row>
    <row r="52" spans="1:4" ht="15" customHeight="1" x14ac:dyDescent="0.25">
      <c r="B52" s="11" t="s">
        <v>13</v>
      </c>
      <c r="C52" s="100">
        <v>3.3</v>
      </c>
    </row>
    <row r="53" spans="1:4" ht="15.75" customHeight="1" x14ac:dyDescent="0.25">
      <c r="B53" s="11" t="s">
        <v>16</v>
      </c>
      <c r="C53" s="100">
        <v>3.3</v>
      </c>
    </row>
    <row r="54" spans="1:4" ht="15.75" customHeight="1" x14ac:dyDescent="0.25">
      <c r="B54" s="11" t="s">
        <v>14</v>
      </c>
      <c r="C54" s="100">
        <v>3.3</v>
      </c>
    </row>
    <row r="55" spans="1:4" ht="15.75" customHeight="1" x14ac:dyDescent="0.25">
      <c r="B55" s="11" t="s">
        <v>15</v>
      </c>
      <c r="C55" s="100">
        <v>3.3</v>
      </c>
    </row>
    <row r="57" spans="1:4" ht="15.75" customHeight="1" x14ac:dyDescent="0.25">
      <c r="A57" s="8" t="s">
        <v>39</v>
      </c>
    </row>
    <row r="58" spans="1:4" ht="15.75" customHeight="1" x14ac:dyDescent="0.25">
      <c r="B58" s="5" t="s">
        <v>42</v>
      </c>
      <c r="C58" s="45">
        <v>2.181818181818182E-2</v>
      </c>
    </row>
    <row r="59" spans="1:4" ht="15.75" customHeight="1" x14ac:dyDescent="0.25">
      <c r="B59" s="11" t="s">
        <v>40</v>
      </c>
      <c r="C59" s="45">
        <v>0.419354</v>
      </c>
    </row>
    <row r="60" spans="1:4" ht="15.75" customHeight="1" x14ac:dyDescent="0.25">
      <c r="B60" s="11" t="s">
        <v>54</v>
      </c>
      <c r="C60" s="45">
        <v>4.5999999999999999E-2</v>
      </c>
    </row>
    <row r="61" spans="1:4" ht="15.75" customHeight="1" x14ac:dyDescent="0.25">
      <c r="B61" s="11" t="s">
        <v>53</v>
      </c>
      <c r="C61" s="45">
        <v>1.4E-2</v>
      </c>
    </row>
    <row r="62" spans="1:4" ht="15.75" customHeight="1" x14ac:dyDescent="0.25">
      <c r="B62" s="11" t="s">
        <v>64</v>
      </c>
      <c r="C62" s="44">
        <v>0.14599999999999999</v>
      </c>
    </row>
    <row r="63" spans="1:4" ht="15.75" customHeight="1" x14ac:dyDescent="0.3">
      <c r="A63" s="4"/>
    </row>
  </sheetData>
  <sheetProtection algorithmName="SHA-512" hashValue="RdRh1fYkNU44H7QkvES2gkFKIDauf/T24rjGJCZKOZnQNNG7x0b2LsiksUT/kFfHCsYzOkEtC6lRgqntMrEXUw==" saltValue="cB7i42jsG//HQoX70qhCb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5">
      <c r="A2" s="5" t="s">
        <v>165</v>
      </c>
      <c r="B2" s="45">
        <v>0.241505464317986</v>
      </c>
      <c r="C2" s="98">
        <v>0.95</v>
      </c>
      <c r="D2" s="56">
        <v>45.474336039627488</v>
      </c>
      <c r="E2" s="56" t="s">
        <v>183</v>
      </c>
      <c r="F2" s="98">
        <v>1</v>
      </c>
      <c r="G2" s="98">
        <v>1</v>
      </c>
    </row>
    <row r="3" spans="1:7" ht="15.75" customHeight="1" x14ac:dyDescent="0.25">
      <c r="A3" s="5" t="s">
        <v>166</v>
      </c>
      <c r="B3" s="45">
        <v>0</v>
      </c>
      <c r="C3" s="98">
        <v>0.95</v>
      </c>
      <c r="D3" s="56">
        <v>42.690808780825847</v>
      </c>
      <c r="E3" s="56" t="s">
        <v>183</v>
      </c>
      <c r="F3" s="98">
        <v>1</v>
      </c>
      <c r="G3" s="98">
        <v>1</v>
      </c>
    </row>
    <row r="4" spans="1:7" ht="15.75" customHeight="1" x14ac:dyDescent="0.25">
      <c r="A4" s="5" t="s">
        <v>167</v>
      </c>
      <c r="B4" s="98">
        <v>0</v>
      </c>
      <c r="C4" s="98">
        <v>0.95</v>
      </c>
      <c r="D4" s="56">
        <v>217.5673441622117</v>
      </c>
      <c r="E4" s="56" t="s">
        <v>183</v>
      </c>
      <c r="F4" s="98">
        <v>1</v>
      </c>
      <c r="G4" s="98">
        <v>1</v>
      </c>
    </row>
    <row r="5" spans="1:7" ht="15.75" customHeight="1" x14ac:dyDescent="0.25">
      <c r="A5" s="5" t="s">
        <v>169</v>
      </c>
      <c r="B5" s="98">
        <v>0</v>
      </c>
      <c r="C5" s="98">
        <v>0.95</v>
      </c>
      <c r="D5" s="56">
        <v>0.68484405953901173</v>
      </c>
      <c r="E5" s="56" t="s">
        <v>183</v>
      </c>
      <c r="F5" s="98">
        <v>1</v>
      </c>
      <c r="G5" s="98">
        <v>1</v>
      </c>
    </row>
    <row r="6" spans="1:7" ht="15.75" customHeight="1" x14ac:dyDescent="0.25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5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5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5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5">
      <c r="A10" s="11" t="s">
        <v>174</v>
      </c>
      <c r="B10" s="45">
        <v>0</v>
      </c>
      <c r="C10" s="98">
        <v>0.95</v>
      </c>
      <c r="D10" s="56">
        <v>13.708520680846441</v>
      </c>
      <c r="E10" s="56" t="s">
        <v>183</v>
      </c>
      <c r="F10" s="98">
        <v>1</v>
      </c>
      <c r="G10" s="98">
        <v>1</v>
      </c>
    </row>
    <row r="11" spans="1:7" ht="15.75" customHeight="1" x14ac:dyDescent="0.25">
      <c r="A11" s="11" t="s">
        <v>175</v>
      </c>
      <c r="B11" s="98">
        <v>0</v>
      </c>
      <c r="C11" s="98">
        <v>0.95</v>
      </c>
      <c r="D11" s="56">
        <v>13.708520680846441</v>
      </c>
      <c r="E11" s="56" t="s">
        <v>183</v>
      </c>
      <c r="F11" s="98">
        <v>1</v>
      </c>
      <c r="G11" s="98">
        <v>1</v>
      </c>
    </row>
    <row r="12" spans="1:7" ht="15.75" customHeight="1" x14ac:dyDescent="0.25">
      <c r="A12" s="11" t="s">
        <v>176</v>
      </c>
      <c r="B12" s="98">
        <v>0</v>
      </c>
      <c r="C12" s="98">
        <v>0.95</v>
      </c>
      <c r="D12" s="56">
        <v>13.708520680846441</v>
      </c>
      <c r="E12" s="56" t="s">
        <v>183</v>
      </c>
      <c r="F12" s="98">
        <v>1</v>
      </c>
      <c r="G12" s="98">
        <v>1</v>
      </c>
    </row>
    <row r="13" spans="1:7" ht="15.75" customHeight="1" x14ac:dyDescent="0.25">
      <c r="A13" s="11" t="s">
        <v>177</v>
      </c>
      <c r="B13" s="98">
        <v>0</v>
      </c>
      <c r="C13" s="98">
        <v>0.95</v>
      </c>
      <c r="D13" s="56">
        <v>13.708520680846441</v>
      </c>
      <c r="E13" s="56" t="s">
        <v>183</v>
      </c>
      <c r="F13" s="98">
        <v>1</v>
      </c>
      <c r="G13" s="98">
        <v>1</v>
      </c>
    </row>
    <row r="14" spans="1:7" ht="15.75" customHeight="1" x14ac:dyDescent="0.25">
      <c r="A14" s="5" t="s">
        <v>178</v>
      </c>
      <c r="B14" s="45">
        <v>0</v>
      </c>
      <c r="C14" s="98">
        <v>0.95</v>
      </c>
      <c r="D14" s="56">
        <v>13.708520680846441</v>
      </c>
      <c r="E14" s="56" t="s">
        <v>183</v>
      </c>
      <c r="F14" s="98">
        <v>1</v>
      </c>
      <c r="G14" s="98">
        <v>1</v>
      </c>
    </row>
    <row r="15" spans="1:7" ht="15.75" customHeight="1" x14ac:dyDescent="0.25">
      <c r="A15" s="5" t="s">
        <v>179</v>
      </c>
      <c r="B15" s="98">
        <v>0</v>
      </c>
      <c r="C15" s="98">
        <v>0.95</v>
      </c>
      <c r="D15" s="56">
        <v>13.708520680846441</v>
      </c>
      <c r="E15" s="56" t="s">
        <v>183</v>
      </c>
      <c r="F15" s="98">
        <v>1</v>
      </c>
      <c r="G15" s="98">
        <v>1</v>
      </c>
    </row>
    <row r="16" spans="1:7" ht="15.75" customHeight="1" x14ac:dyDescent="0.25">
      <c r="A16" s="5" t="s">
        <v>180</v>
      </c>
      <c r="B16" s="45">
        <v>0.314836667943726</v>
      </c>
      <c r="C16" s="98">
        <v>0.95</v>
      </c>
      <c r="D16" s="56">
        <v>0.44775725299200048</v>
      </c>
      <c r="E16" s="56" t="s">
        <v>183</v>
      </c>
      <c r="F16" s="98">
        <v>1</v>
      </c>
      <c r="G16" s="98">
        <v>1</v>
      </c>
    </row>
    <row r="17" spans="1:7" ht="15.75" customHeight="1" x14ac:dyDescent="0.25">
      <c r="A17" s="5" t="s">
        <v>181</v>
      </c>
      <c r="B17" s="98">
        <v>0.6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" customHeight="1" x14ac:dyDescent="0.25">
      <c r="A18" s="5" t="s">
        <v>151</v>
      </c>
      <c r="B18" s="98">
        <v>0</v>
      </c>
      <c r="C18" s="98">
        <v>0.95</v>
      </c>
      <c r="D18" s="56">
        <v>5.0749502759813003</v>
      </c>
      <c r="E18" s="56" t="s">
        <v>183</v>
      </c>
      <c r="F18" s="98">
        <v>1</v>
      </c>
      <c r="G18" s="98">
        <v>1</v>
      </c>
    </row>
    <row r="19" spans="1:7" ht="15.75" customHeight="1" x14ac:dyDescent="0.25">
      <c r="A19" s="5" t="s">
        <v>152</v>
      </c>
      <c r="B19" s="98">
        <v>0</v>
      </c>
      <c r="C19" s="98">
        <v>0.95</v>
      </c>
      <c r="D19" s="56">
        <v>5.0749502759813003</v>
      </c>
      <c r="E19" s="56" t="s">
        <v>183</v>
      </c>
      <c r="F19" s="98">
        <v>1</v>
      </c>
      <c r="G19" s="98">
        <v>1</v>
      </c>
    </row>
    <row r="20" spans="1:7" ht="15.75" customHeight="1" x14ac:dyDescent="0.25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5">
      <c r="A21" s="5" t="s">
        <v>182</v>
      </c>
      <c r="B21" s="45">
        <v>0.5492108</v>
      </c>
      <c r="C21" s="98">
        <v>0.95</v>
      </c>
      <c r="D21" s="56">
        <v>6.3462726393905529</v>
      </c>
      <c r="E21" s="56" t="s">
        <v>183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23.484675418466331</v>
      </c>
      <c r="E22" s="56" t="s">
        <v>183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8.0000000000000002E-3</v>
      </c>
      <c r="C23" s="98">
        <v>0.95</v>
      </c>
      <c r="D23" s="56">
        <v>4.5665474093235741</v>
      </c>
      <c r="E23" s="56" t="s">
        <v>183</v>
      </c>
      <c r="F23" s="98">
        <v>1</v>
      </c>
      <c r="G23" s="98">
        <v>1</v>
      </c>
    </row>
    <row r="24" spans="1:7" ht="15.75" customHeight="1" x14ac:dyDescent="0.25">
      <c r="A24" s="5" t="s">
        <v>188</v>
      </c>
      <c r="B24" s="45">
        <v>0.292549254610112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5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5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5">
      <c r="A27" s="5" t="s">
        <v>191</v>
      </c>
      <c r="B27" s="45">
        <v>0.26208812537286402</v>
      </c>
      <c r="C27" s="98">
        <v>0.95</v>
      </c>
      <c r="D27" s="56">
        <v>19.70793869658976</v>
      </c>
      <c r="E27" s="56" t="s">
        <v>183</v>
      </c>
      <c r="F27" s="98">
        <v>1</v>
      </c>
      <c r="G27" s="98">
        <v>1</v>
      </c>
    </row>
    <row r="28" spans="1:7" ht="15.75" customHeight="1" x14ac:dyDescent="0.25">
      <c r="A28" s="5" t="s">
        <v>192</v>
      </c>
      <c r="B28" s="45">
        <v>0.4003968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5">
      <c r="A29" s="5" t="s">
        <v>193</v>
      </c>
      <c r="B29" s="45">
        <v>0</v>
      </c>
      <c r="C29" s="98">
        <v>0.95</v>
      </c>
      <c r="D29" s="56">
        <v>84.992956066465482</v>
      </c>
      <c r="E29" s="56" t="s">
        <v>183</v>
      </c>
      <c r="F29" s="98">
        <v>1</v>
      </c>
      <c r="G29" s="98">
        <v>1</v>
      </c>
    </row>
    <row r="30" spans="1:7" ht="15.75" customHeight="1" x14ac:dyDescent="0.25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5">
      <c r="A31" s="5" t="s">
        <v>164</v>
      </c>
      <c r="B31" s="45">
        <v>5.8200000000000002E-2</v>
      </c>
      <c r="C31" s="98">
        <v>0.95</v>
      </c>
      <c r="D31" s="56">
        <v>1.9651733159984111</v>
      </c>
      <c r="E31" s="56" t="s">
        <v>183</v>
      </c>
      <c r="F31" s="98">
        <v>1</v>
      </c>
      <c r="G31" s="98">
        <v>1</v>
      </c>
    </row>
    <row r="32" spans="1:7" ht="15.75" customHeight="1" x14ac:dyDescent="0.25">
      <c r="A32" s="5" t="s">
        <v>196</v>
      </c>
      <c r="B32" s="45">
        <v>0.26556879999999999</v>
      </c>
      <c r="C32" s="98">
        <v>0.95</v>
      </c>
      <c r="D32" s="56">
        <v>0.92770596430656782</v>
      </c>
      <c r="E32" s="56" t="s">
        <v>183</v>
      </c>
      <c r="F32" s="98">
        <v>1</v>
      </c>
      <c r="G32" s="98">
        <v>1</v>
      </c>
    </row>
    <row r="33" spans="1:7" ht="15.75" customHeight="1" x14ac:dyDescent="0.25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5">
      <c r="A34" s="5" t="s">
        <v>198</v>
      </c>
      <c r="B34" s="45">
        <v>0.39171754097459299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5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5">
      <c r="A36" s="5" t="s">
        <v>200</v>
      </c>
      <c r="B36" s="45">
        <v>0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5">
      <c r="A37" s="5" t="s">
        <v>201</v>
      </c>
      <c r="B37" s="45">
        <v>0.8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5">
      <c r="A38" s="5" t="s">
        <v>202</v>
      </c>
      <c r="B38" s="45">
        <v>0.31121219999999999</v>
      </c>
      <c r="C38" s="98">
        <v>0.95</v>
      </c>
      <c r="D38" s="56">
        <v>3.6378963707202279</v>
      </c>
      <c r="E38" s="56" t="s">
        <v>183</v>
      </c>
      <c r="F38" s="98">
        <v>1</v>
      </c>
      <c r="G38" s="98">
        <v>1</v>
      </c>
    </row>
    <row r="39" spans="1:7" ht="15.75" customHeight="1" x14ac:dyDescent="0.25">
      <c r="A39" s="5" t="s">
        <v>203</v>
      </c>
      <c r="B39" s="45">
        <v>0.22646959999999999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nEwDUG/bpcQ4E2P43Fihyw+xp+U3RlsoYXKbz7fDUm9jotYEQutKkHKsh12zgw3Td4+fYCjyzmaE7DJwBQlNwA==" saltValue="zGNku4oTWiW/tonmmggU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163</v>
      </c>
      <c r="B1" s="4" t="s">
        <v>205</v>
      </c>
      <c r="C1" s="4" t="s">
        <v>206</v>
      </c>
    </row>
    <row r="2" spans="1:3" x14ac:dyDescent="0.25">
      <c r="A2" s="57" t="s">
        <v>178</v>
      </c>
      <c r="B2" s="47" t="s">
        <v>191</v>
      </c>
      <c r="C2" s="47"/>
    </row>
    <row r="3" spans="1:3" x14ac:dyDescent="0.25">
      <c r="A3" s="57" t="s">
        <v>179</v>
      </c>
      <c r="B3" s="47" t="s">
        <v>191</v>
      </c>
      <c r="C3" s="47"/>
    </row>
    <row r="4" spans="1:3" x14ac:dyDescent="0.25">
      <c r="A4" s="57" t="s">
        <v>193</v>
      </c>
      <c r="B4" s="47" t="s">
        <v>184</v>
      </c>
      <c r="C4" s="47"/>
    </row>
    <row r="5" spans="1:3" x14ac:dyDescent="0.25">
      <c r="A5" s="57" t="s">
        <v>190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BTW+NVSSAZaX8iIyxo+wW3P0H8i8jtd27QiC9alZ4MPVTuo1tZdivb3d1KpLktsfO8vZyJWTDYNGMAsyuyYAA==" saltValue="mvrXJ5OHYfqGAdHLhHQdw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163</v>
      </c>
    </row>
    <row r="2" spans="1:1" x14ac:dyDescent="0.25">
      <c r="A2" s="33" t="s">
        <v>170</v>
      </c>
    </row>
    <row r="3" spans="1:1" x14ac:dyDescent="0.25">
      <c r="A3" s="33" t="s">
        <v>180</v>
      </c>
    </row>
    <row r="4" spans="1:1" x14ac:dyDescent="0.25">
      <c r="A4" s="33" t="s">
        <v>185</v>
      </c>
    </row>
    <row r="5" spans="1:1" x14ac:dyDescent="0.25">
      <c r="A5" s="33" t="s">
        <v>197</v>
      </c>
    </row>
    <row r="6" spans="1:1" x14ac:dyDescent="0.25">
      <c r="A6" s="33" t="s">
        <v>198</v>
      </c>
    </row>
    <row r="7" spans="1:1" x14ac:dyDescent="0.25">
      <c r="A7" s="33" t="s">
        <v>199</v>
      </c>
    </row>
    <row r="8" spans="1:1" x14ac:dyDescent="0.25">
      <c r="A8" s="33" t="s">
        <v>200</v>
      </c>
    </row>
    <row r="9" spans="1:1" x14ac:dyDescent="0.25">
      <c r="A9" s="33" t="s">
        <v>201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sheetProtection algorithmName="SHA-512" hashValue="7oHbYDgI0np8N4dtBOUzkZC9+3D8Q8NXKxrU+x/N24k/O06SixhHKhX9FDZn8d22N5crAl+m2s7jAeETHBoX4w==" saltValue="nbtW4BSF8AgG6IZwzanJp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E4" sqref="E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5">
      <c r="A2" s="3" t="s">
        <v>84</v>
      </c>
      <c r="B2" s="21">
        <f>'Entradas de población-año base'!C51</f>
        <v>3.3</v>
      </c>
      <c r="C2" s="21">
        <f>'Entradas de población-año base'!C52</f>
        <v>3.3</v>
      </c>
      <c r="D2" s="21">
        <f>'Entradas de población-año base'!C53</f>
        <v>3.3</v>
      </c>
      <c r="E2" s="21">
        <f>'Entradas de población-año base'!C54</f>
        <v>3.3</v>
      </c>
      <c r="F2" s="21">
        <f>'Entradas de población-año base'!C55</f>
        <v>3.3</v>
      </c>
    </row>
    <row r="3" spans="1:6" ht="15.75" customHeight="1" x14ac:dyDescent="0.25">
      <c r="A3" s="3" t="s">
        <v>6</v>
      </c>
      <c r="B3" s="21">
        <f>frac_mam_1month * 2.6</f>
        <v>0.1215550128</v>
      </c>
      <c r="C3" s="21">
        <f>frac_mam_1_5months * 2.6</f>
        <v>0.1215550128</v>
      </c>
      <c r="D3" s="21">
        <f>frac_mam_6_11months * 2.6</f>
        <v>0.26836199000000005</v>
      </c>
      <c r="E3" s="21">
        <f>frac_mam_12_23months * 2.6</f>
        <v>0.20220584280000001</v>
      </c>
      <c r="F3" s="21">
        <f>frac_mam_24_59months * 2.6</f>
        <v>8.2234258599999999E-2</v>
      </c>
    </row>
    <row r="4" spans="1:6" ht="15.75" customHeight="1" x14ac:dyDescent="0.25">
      <c r="A4" s="3" t="s">
        <v>207</v>
      </c>
      <c r="B4" s="21">
        <f>frac_sam_1month * 2.6</f>
        <v>6.1459390200000005E-2</v>
      </c>
      <c r="C4" s="21">
        <f>frac_sam_1_5months * 2.6</f>
        <v>6.1459390200000005E-2</v>
      </c>
      <c r="D4" s="21">
        <f>frac_sam_6_11months * 2.6</f>
        <v>8.6299262400000007E-2</v>
      </c>
      <c r="E4" s="21">
        <f>frac_sam_12_23months * 2.6</f>
        <v>8.6436110800000007E-2</v>
      </c>
      <c r="F4" s="21">
        <f>frac_sam_24_59months * 2.6</f>
        <v>2.3025978820000001E-2</v>
      </c>
    </row>
  </sheetData>
  <sheetProtection algorithmName="SHA-512" hashValue="Awj9R893dsGWSl6jLUYTMS80rxgQrdJBblpv857ig1g0zpLix6Eggm5tvr3JXVVjCNHHyxalq6vbBrQYfkoIEw==" saltValue="1rOrHnELe/QpkxP/LEfcl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D7" sqref="D7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">
      <c r="A2" s="4" t="s">
        <v>83</v>
      </c>
      <c r="B2" s="5" t="s">
        <v>167</v>
      </c>
      <c r="C2" s="60">
        <v>0</v>
      </c>
      <c r="D2" s="60">
        <f>food_insecure</f>
        <v>0.53500000000000003</v>
      </c>
      <c r="E2" s="60">
        <f>food_insecure</f>
        <v>0.53500000000000003</v>
      </c>
      <c r="F2" s="60">
        <f>food_insecure</f>
        <v>0.53500000000000003</v>
      </c>
      <c r="G2" s="60">
        <f>food_insecure</f>
        <v>0.53500000000000003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0.53500000000000003</v>
      </c>
      <c r="F5" s="60">
        <f>food_insecure</f>
        <v>0.53500000000000003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192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193</v>
      </c>
      <c r="C8" s="60">
        <v>0</v>
      </c>
      <c r="D8" s="60">
        <v>0</v>
      </c>
      <c r="E8" s="60">
        <f>food_insecure</f>
        <v>0.53500000000000003</v>
      </c>
      <c r="F8" s="60">
        <f>food_insecure</f>
        <v>0.53500000000000003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204</v>
      </c>
      <c r="C9" s="60">
        <v>0</v>
      </c>
      <c r="D9" s="60">
        <v>0</v>
      </c>
      <c r="E9" s="60">
        <f>food_insecure</f>
        <v>0.53500000000000003</v>
      </c>
      <c r="F9" s="60">
        <f>food_insecure</f>
        <v>0.53500000000000003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164</v>
      </c>
      <c r="C10" s="60">
        <v>0</v>
      </c>
      <c r="D10" s="60">
        <f>IF(ISBLANK(comm_deliv), frac_children_health_facility,1)</f>
        <v>0.23699999999999999</v>
      </c>
      <c r="E10" s="60">
        <f>IF(ISBLANK(comm_deliv), frac_children_health_facility,1)</f>
        <v>0.23699999999999999</v>
      </c>
      <c r="F10" s="60">
        <f>IF(ISBLANK(comm_deliv), frac_children_health_facility,1)</f>
        <v>0.23699999999999999</v>
      </c>
      <c r="G10" s="60">
        <f>IF(ISBLANK(comm_deliv), frac_children_health_facility,1)</f>
        <v>0.23699999999999999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202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0.53500000000000003</v>
      </c>
      <c r="I15" s="60">
        <f>food_insecure</f>
        <v>0.53500000000000003</v>
      </c>
      <c r="J15" s="60">
        <f>food_insecure</f>
        <v>0.53500000000000003</v>
      </c>
      <c r="K15" s="60">
        <f>food_insecure</f>
        <v>0.53500000000000003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0.51100000000000001</v>
      </c>
      <c r="I18" s="60">
        <f>frac_PW_health_facility</f>
        <v>0.51100000000000001</v>
      </c>
      <c r="J18" s="60">
        <f>frac_PW_health_facility</f>
        <v>0.51100000000000001</v>
      </c>
      <c r="K18" s="60">
        <f>frac_PW_health_facility</f>
        <v>0.51100000000000001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0.99</v>
      </c>
      <c r="I19" s="60">
        <f>frac_malaria_risk</f>
        <v>0.99</v>
      </c>
      <c r="J19" s="60">
        <f>frac_malaria_risk</f>
        <v>0.99</v>
      </c>
      <c r="K19" s="60">
        <f>frac_malaria_risk</f>
        <v>0.99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0.73699999999999999</v>
      </c>
      <c r="M24" s="60">
        <f>famplan_unmet_need</f>
        <v>0.73699999999999999</v>
      </c>
      <c r="N24" s="60">
        <f>famplan_unmet_need</f>
        <v>0.73699999999999999</v>
      </c>
      <c r="O24" s="60">
        <f>famplan_unmet_need</f>
        <v>0.73699999999999999</v>
      </c>
    </row>
    <row r="25" spans="1:15" ht="15.75" customHeight="1" x14ac:dyDescent="0.25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0.40596389547462008</v>
      </c>
      <c r="M25" s="60">
        <f>(1-food_insecure)*(0.49)+food_insecure*(0.7)</f>
        <v>0.60234999999999994</v>
      </c>
      <c r="N25" s="60">
        <f>(1-food_insecure)*(0.49)+food_insecure*(0.7)</f>
        <v>0.60234999999999994</v>
      </c>
      <c r="O25" s="60">
        <f>(1-food_insecure)*(0.49)+food_insecure*(0.7)</f>
        <v>0.60234999999999994</v>
      </c>
    </row>
    <row r="26" spans="1:15" ht="15.75" customHeight="1" x14ac:dyDescent="0.25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0.17398452663198</v>
      </c>
      <c r="M26" s="60">
        <f>(1-food_insecure)*(0.21)+food_insecure*(0.3)</f>
        <v>0.25814999999999999</v>
      </c>
      <c r="N26" s="60">
        <f>(1-food_insecure)*(0.21)+food_insecure*(0.3)</f>
        <v>0.25814999999999999</v>
      </c>
      <c r="O26" s="60">
        <f>(1-food_insecure)*(0.21)+food_insecure*(0.3)</f>
        <v>0.25814999999999999</v>
      </c>
    </row>
    <row r="27" spans="1:15" ht="15.75" customHeight="1" x14ac:dyDescent="0.25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9.4018367093400002E-2</v>
      </c>
      <c r="M27" s="60">
        <f>(1-food_insecure)*(0.3)</f>
        <v>0.13949999999999999</v>
      </c>
      <c r="N27" s="60">
        <f>(1-food_insecure)*(0.3)</f>
        <v>0.13949999999999999</v>
      </c>
      <c r="O27" s="60">
        <f>(1-food_insecure)*(0.3)</f>
        <v>0.13949999999999999</v>
      </c>
    </row>
    <row r="28" spans="1:15" ht="15.75" customHeight="1" x14ac:dyDescent="0.25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0.32603321079999997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0.99</v>
      </c>
      <c r="D34" s="60">
        <f t="shared" si="3"/>
        <v>0.99</v>
      </c>
      <c r="E34" s="60">
        <f t="shared" si="3"/>
        <v>0.99</v>
      </c>
      <c r="F34" s="60">
        <f t="shared" si="3"/>
        <v>0.99</v>
      </c>
      <c r="G34" s="60">
        <f t="shared" si="3"/>
        <v>0.99</v>
      </c>
      <c r="H34" s="60">
        <f t="shared" si="3"/>
        <v>0.99</v>
      </c>
      <c r="I34" s="60">
        <f t="shared" si="3"/>
        <v>0.99</v>
      </c>
      <c r="J34" s="60">
        <f t="shared" si="3"/>
        <v>0.99</v>
      </c>
      <c r="K34" s="60">
        <f t="shared" si="3"/>
        <v>0.99</v>
      </c>
      <c r="L34" s="60">
        <f t="shared" si="3"/>
        <v>0.99</v>
      </c>
      <c r="M34" s="60">
        <f t="shared" si="3"/>
        <v>0.99</v>
      </c>
      <c r="N34" s="60">
        <f t="shared" si="3"/>
        <v>0.99</v>
      </c>
      <c r="O34" s="60">
        <f t="shared" si="3"/>
        <v>0.99</v>
      </c>
    </row>
    <row r="35" spans="2:15" ht="15.75" customHeight="1" x14ac:dyDescent="0.25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n9nvWEDbv2wrjVN1YNfO2Nwd6je8SZKUI3cTiUc8qHJGsiHnofqmI7lPU6AMqH+gOjljDuKyEn4GOmoqSEhi0A==" saltValue="G1jzXCqUWJaAm+mK3IpUI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183</v>
      </c>
    </row>
    <row r="2" spans="1:1" x14ac:dyDescent="0.25">
      <c r="A2" s="8" t="s">
        <v>213</v>
      </c>
    </row>
    <row r="3" spans="1:1" x14ac:dyDescent="0.25">
      <c r="A3" s="8" t="s">
        <v>212</v>
      </c>
    </row>
    <row r="4" spans="1:1" x14ac:dyDescent="0.25">
      <c r="A4" s="8" t="s">
        <v>214</v>
      </c>
    </row>
  </sheetData>
  <sheetProtection algorithmName="SHA-512" hashValue="V9N/GiSl/eOJY+CYJcKX4wNDMgzBlUymvHHqo7Ys/svV18x8u2fNUWuBx2FbmkKbhuxzDbtoQ45r8gF4imknsQ==" saltValue="H3NaNpIyvkIX1jRHOH0qp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A3" sqref="A3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4" customHeight="1" x14ac:dyDescent="0.3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ijAxI4v6DT4C4/mWuRQf47dDfOgkyPDKxJFS0xVw9kmZ5Z0ebPdRwIQsB++0is7rCh4V8UbMxwrhd+CdlH4Iag==" saltValue="GZcjXLZTmLb+NJFATiON/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H1" workbookViewId="0">
      <selection activeCell="C8" sqref="C8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Vpt64UlY8VXgqD1UJmzGSlccfWRK6O+LJD10xf3hytujt3s6xC0AqG347Iq1zL6UXInvtbQOgE4m+XrLX+wvkA==" saltValue="Bmc234oPzF5o+OSJbW+fCA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B11" sqref="B11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5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5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5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5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5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5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5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5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5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5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5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5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5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5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cvSYoa9WbmIRmgFTdypeflKGbsD93LJ7fcJcBI3ULjWMgTobC7y1jAVmbF4Ky5BT8BXSrLw70Jv1D0ngptPHug==" saltValue="4Ft3+LN6HwM4SD9X3NnNXg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5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5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5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5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5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5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5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5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5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5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5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5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5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ztUZfCLwCU62u+vxePgCSZhudWAnWhK5uyolCB2jKmagowcDnSWegK65CB6I2UnEGFqlEcutiLE6EHH7JLHTUw==" saltValue="uK5Wh44A9ebtUlRvctk/F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5">
      <c r="A2" s="5">
        <f>start_year</f>
        <v>2021</v>
      </c>
      <c r="B2" s="49">
        <v>7747798.6846000003</v>
      </c>
      <c r="C2" s="49">
        <v>11086000</v>
      </c>
      <c r="D2" s="49">
        <v>16845000</v>
      </c>
      <c r="E2" s="49">
        <v>12281000</v>
      </c>
      <c r="F2" s="49">
        <v>8730000</v>
      </c>
      <c r="G2" s="17">
        <f t="shared" ref="G2:G11" si="0">C2+D2+E2+F2</f>
        <v>48942000</v>
      </c>
      <c r="H2" s="17">
        <f t="shared" ref="H2:H11" si="1">(B2 + stillbirth*B2/(1000-stillbirth))/(1-abortion)</f>
        <v>9004634.8829517718</v>
      </c>
      <c r="I2" s="17">
        <f t="shared" ref="I2:I11" si="2">G2-H2</f>
        <v>39937365.117048226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7862243.0144000007</v>
      </c>
      <c r="C3" s="50">
        <v>11406000</v>
      </c>
      <c r="D3" s="50">
        <v>17372000</v>
      </c>
      <c r="E3" s="50">
        <v>12545000</v>
      </c>
      <c r="F3" s="50">
        <v>9016000</v>
      </c>
      <c r="G3" s="17">
        <f t="shared" si="0"/>
        <v>50339000</v>
      </c>
      <c r="H3" s="17">
        <f t="shared" si="1"/>
        <v>9137644.1990458351</v>
      </c>
      <c r="I3" s="17">
        <f t="shared" si="2"/>
        <v>41201355.800954163</v>
      </c>
    </row>
    <row r="4" spans="1:9" ht="15.75" customHeight="1" x14ac:dyDescent="0.25">
      <c r="A4" s="5">
        <f t="shared" si="3"/>
        <v>2023</v>
      </c>
      <c r="B4" s="49">
        <v>7976378.7432000004</v>
      </c>
      <c r="C4" s="50">
        <v>11730000</v>
      </c>
      <c r="D4" s="50">
        <v>17928000</v>
      </c>
      <c r="E4" s="50">
        <v>12818000</v>
      </c>
      <c r="F4" s="50">
        <v>9304000</v>
      </c>
      <c r="G4" s="17">
        <f t="shared" si="0"/>
        <v>51780000</v>
      </c>
      <c r="H4" s="17">
        <f t="shared" si="1"/>
        <v>9270294.853351865</v>
      </c>
      <c r="I4" s="17">
        <f t="shared" si="2"/>
        <v>42509705.146648139</v>
      </c>
    </row>
    <row r="5" spans="1:9" ht="15.75" customHeight="1" x14ac:dyDescent="0.25">
      <c r="A5" s="5">
        <f t="shared" si="3"/>
        <v>2024</v>
      </c>
      <c r="B5" s="49">
        <v>8090224.4996000016</v>
      </c>
      <c r="C5" s="50">
        <v>12065000</v>
      </c>
      <c r="D5" s="50">
        <v>18513000</v>
      </c>
      <c r="E5" s="50">
        <v>13108000</v>
      </c>
      <c r="F5" s="50">
        <v>9589000</v>
      </c>
      <c r="G5" s="17">
        <f t="shared" si="0"/>
        <v>53275000</v>
      </c>
      <c r="H5" s="17">
        <f t="shared" si="1"/>
        <v>9402608.4963732194</v>
      </c>
      <c r="I5" s="17">
        <f t="shared" si="2"/>
        <v>43872391.503626779</v>
      </c>
    </row>
    <row r="6" spans="1:9" ht="15.75" customHeight="1" x14ac:dyDescent="0.25">
      <c r="A6" s="5">
        <f t="shared" si="3"/>
        <v>2025</v>
      </c>
      <c r="B6" s="49">
        <v>8203757.6599999992</v>
      </c>
      <c r="C6" s="50">
        <v>12410000</v>
      </c>
      <c r="D6" s="50">
        <v>19121000</v>
      </c>
      <c r="E6" s="50">
        <v>13422000</v>
      </c>
      <c r="F6" s="50">
        <v>9870000</v>
      </c>
      <c r="G6" s="17">
        <f t="shared" si="0"/>
        <v>54823000</v>
      </c>
      <c r="H6" s="17">
        <f t="shared" si="1"/>
        <v>9534558.8345436733</v>
      </c>
      <c r="I6" s="17">
        <f t="shared" si="2"/>
        <v>45288441.165456325</v>
      </c>
    </row>
    <row r="7" spans="1:9" ht="15.75" customHeight="1" x14ac:dyDescent="0.25">
      <c r="A7" s="5">
        <f t="shared" si="3"/>
        <v>2026</v>
      </c>
      <c r="B7" s="49">
        <v>8327290.5539999986</v>
      </c>
      <c r="C7" s="50">
        <v>12740000</v>
      </c>
      <c r="D7" s="50">
        <v>19735000</v>
      </c>
      <c r="E7" s="50">
        <v>13753000</v>
      </c>
      <c r="F7" s="50">
        <v>10136000</v>
      </c>
      <c r="G7" s="17">
        <f t="shared" si="0"/>
        <v>56364000</v>
      </c>
      <c r="H7" s="17">
        <f t="shared" si="1"/>
        <v>9678131.0479925591</v>
      </c>
      <c r="I7" s="17">
        <f t="shared" si="2"/>
        <v>46685868.952007443</v>
      </c>
    </row>
    <row r="8" spans="1:9" ht="15.75" customHeight="1" x14ac:dyDescent="0.25">
      <c r="A8" s="5">
        <f t="shared" si="3"/>
        <v>2027</v>
      </c>
      <c r="B8" s="49">
        <v>8450801.9333999995</v>
      </c>
      <c r="C8" s="50">
        <v>13081000</v>
      </c>
      <c r="D8" s="50">
        <v>20371000</v>
      </c>
      <c r="E8" s="50">
        <v>14110000</v>
      </c>
      <c r="F8" s="50">
        <v>10403000</v>
      </c>
      <c r="G8" s="17">
        <f t="shared" si="0"/>
        <v>57965000</v>
      </c>
      <c r="H8" s="17">
        <f t="shared" si="1"/>
        <v>9821678.2567755338</v>
      </c>
      <c r="I8" s="17">
        <f t="shared" si="2"/>
        <v>48143321.743224464</v>
      </c>
    </row>
    <row r="9" spans="1:9" ht="15.75" customHeight="1" x14ac:dyDescent="0.25">
      <c r="A9" s="5">
        <f t="shared" si="3"/>
        <v>2028</v>
      </c>
      <c r="B9" s="49">
        <v>8574242.4575999975</v>
      </c>
      <c r="C9" s="50">
        <v>13429000</v>
      </c>
      <c r="D9" s="50">
        <v>21021000</v>
      </c>
      <c r="E9" s="50">
        <v>14497000</v>
      </c>
      <c r="F9" s="50">
        <v>10668000</v>
      </c>
      <c r="G9" s="17">
        <f t="shared" si="0"/>
        <v>59615000</v>
      </c>
      <c r="H9" s="17">
        <f t="shared" si="1"/>
        <v>9965143.1163350008</v>
      </c>
      <c r="I9" s="17">
        <f t="shared" si="2"/>
        <v>49649856.883664995</v>
      </c>
    </row>
    <row r="10" spans="1:9" ht="15.75" customHeight="1" x14ac:dyDescent="0.25">
      <c r="A10" s="5">
        <f t="shared" si="3"/>
        <v>2029</v>
      </c>
      <c r="B10" s="49">
        <v>8697458.833399998</v>
      </c>
      <c r="C10" s="50">
        <v>13772000</v>
      </c>
      <c r="D10" s="50">
        <v>21683000</v>
      </c>
      <c r="E10" s="50">
        <v>14917000</v>
      </c>
      <c r="F10" s="50">
        <v>10932000</v>
      </c>
      <c r="G10" s="17">
        <f t="shared" si="0"/>
        <v>61304000</v>
      </c>
      <c r="H10" s="17">
        <f t="shared" si="1"/>
        <v>10108347.466479633</v>
      </c>
      <c r="I10" s="17">
        <f t="shared" si="2"/>
        <v>51195652.533520371</v>
      </c>
    </row>
    <row r="11" spans="1:9" ht="15.75" customHeight="1" x14ac:dyDescent="0.25">
      <c r="A11" s="5">
        <f t="shared" si="3"/>
        <v>2030</v>
      </c>
      <c r="B11" s="49">
        <v>8820399.3359999992</v>
      </c>
      <c r="C11" s="50">
        <v>14100000</v>
      </c>
      <c r="D11" s="50">
        <v>22354000</v>
      </c>
      <c r="E11" s="50">
        <v>15373000</v>
      </c>
      <c r="F11" s="50">
        <v>11198000</v>
      </c>
      <c r="G11" s="17">
        <f t="shared" si="0"/>
        <v>63025000</v>
      </c>
      <c r="H11" s="17">
        <f t="shared" si="1"/>
        <v>10251231.191690512</v>
      </c>
      <c r="I11" s="17">
        <f t="shared" si="2"/>
        <v>52773768.808309488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kiWJnT1U1sCZjCDnNrvTZPyjunHYG2d2PBS4q5IjRqICj504n4WIkzLxrvo4PdT27ArrhYoJu4atup/zMDmeqg==" saltValue="wbaBHxiq9xWNXd95YokYQQ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ht="13" customHeight="1" x14ac:dyDescent="0.3">
      <c r="A2" s="4" t="s">
        <v>236</v>
      </c>
      <c r="B2" s="103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78</v>
      </c>
      <c r="C5" s="8" t="s">
        <v>150</v>
      </c>
      <c r="D5" s="88">
        <f>IF(ISBLANK('Distribución de lactancia'!$C$2),1.56,(1.56-'Distribución de lactancia'!$C$2)/(1-'Distribución de lactancia'!$C$2))</f>
        <v>1.9160121541726973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149</v>
      </c>
      <c r="D6" s="88">
        <f>IF(ISBLANK('Distribución de lactancia'!$C$2),1.56,(1.56-'Distribución de lactancia'!$C$2)/(1-'Distribución de lactancia'!$C$2))</f>
        <v>1.9160121541726973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74</v>
      </c>
      <c r="C8" s="8" t="s">
        <v>150</v>
      </c>
      <c r="D8" s="88">
        <v>1</v>
      </c>
      <c r="E8" s="88">
        <f>IF(ISBLANK('Distribución de lactancia'!$D$2),1.56,(1.56-'Distribución de lactancia'!$D$2)/(1-'Distribución de lactancia'!$D$2))</f>
        <v>1.762494839543854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149</v>
      </c>
      <c r="D9" s="88">
        <v>1</v>
      </c>
      <c r="E9" s="88">
        <f>IF(ISBLANK('Distribución de lactancia'!$D$2),1.56,(1.56-'Distribución de lactancia'!$D$2)/(1-'Distribución de lactancia'!$D$2))</f>
        <v>1.762494839543854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77</v>
      </c>
      <c r="C11" s="8" t="s">
        <v>150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149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149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242</v>
      </c>
      <c r="B19" s="103" t="s">
        <v>104</v>
      </c>
      <c r="C19" s="8" t="s">
        <v>150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4"/>
      <c r="C20" s="8" t="s">
        <v>149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4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3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3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3" t="s">
        <v>77</v>
      </c>
      <c r="C28" s="8" t="s">
        <v>150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4"/>
      <c r="C29" s="8" t="s">
        <v>149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3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4"/>
      <c r="C32" s="8" t="s">
        <v>149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65" t="s">
        <v>148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239</v>
      </c>
      <c r="B36" s="103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77</v>
      </c>
      <c r="C45" s="8" t="s">
        <v>150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4"/>
      <c r="C46" s="8" t="s">
        <v>149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4"/>
      <c r="C49" s="8" t="s">
        <v>149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148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ht="13" customHeight="1" x14ac:dyDescent="0.3">
      <c r="A55" s="4" t="s">
        <v>237</v>
      </c>
      <c r="B55" s="103" t="s">
        <v>104</v>
      </c>
      <c r="C55" s="8" t="s">
        <v>150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149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78</v>
      </c>
      <c r="C58" s="8" t="s">
        <v>150</v>
      </c>
      <c r="D58" s="88">
        <f>IF(ISBLANK('Distribución de lactancia'!$C$2),1.37,(1.37-'Distribución de lactancia'!$C$2)/(1-'Distribución de lactancia'!$C$2))</f>
        <v>1.605222316149818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149</v>
      </c>
      <c r="D59" s="88">
        <f>IF(ISBLANK('Distribución de lactancia'!$C$2),1.37,(1.37-'Distribución de lactancia'!$C$2)/(1-'Distribución de lactancia'!$C$2))</f>
        <v>1.605222316149818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74</v>
      </c>
      <c r="C61" s="8" t="s">
        <v>150</v>
      </c>
      <c r="D61" s="88">
        <f t="shared" si="2"/>
        <v>1</v>
      </c>
      <c r="E61" s="88">
        <f>IF(ISBLANK('Distribución de lactancia'!$D$2),1.37,(1.37-'Distribución de lactancia'!$D$2)/(1-'Distribución de lactancia'!$D$2))</f>
        <v>1.5037912332700465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149</v>
      </c>
      <c r="D62" s="88">
        <f t="shared" si="2"/>
        <v>1</v>
      </c>
      <c r="E62" s="88">
        <f>IF(ISBLANK('Distribución de lactancia'!$D$2),1.37,(1.37-'Distribución de lactancia'!$D$2)/(1-'Distribución de lactancia'!$D$2))</f>
        <v>1.5037912332700465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77</v>
      </c>
      <c r="C64" s="8" t="s">
        <v>150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149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75</v>
      </c>
      <c r="C67" s="8" t="s">
        <v>150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149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148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243</v>
      </c>
      <c r="B72" s="103" t="s">
        <v>104</v>
      </c>
      <c r="C72" s="8" t="s">
        <v>150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0.88200000000000001</v>
      </c>
      <c r="G72" s="88">
        <f t="shared" si="6"/>
        <v>0.88200000000000001</v>
      </c>
      <c r="H72" s="88">
        <f t="shared" si="6"/>
        <v>1</v>
      </c>
    </row>
    <row r="73" spans="1:8" x14ac:dyDescent="0.25">
      <c r="B73" s="104"/>
      <c r="C73" s="8" t="s">
        <v>149</v>
      </c>
      <c r="D73" s="88">
        <f t="shared" si="6"/>
        <v>1</v>
      </c>
      <c r="E73" s="88">
        <f t="shared" si="6"/>
        <v>1</v>
      </c>
      <c r="F73" s="88">
        <f t="shared" si="6"/>
        <v>0.88200000000000001</v>
      </c>
      <c r="G73" s="88">
        <f t="shared" si="6"/>
        <v>0.88200000000000001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0.89100000000000001</v>
      </c>
      <c r="G74" s="88">
        <f t="shared" si="6"/>
        <v>0.89100000000000001</v>
      </c>
      <c r="H74" s="88">
        <f t="shared" si="6"/>
        <v>1</v>
      </c>
    </row>
    <row r="75" spans="1:8" x14ac:dyDescent="0.25">
      <c r="B75" s="103" t="s">
        <v>78</v>
      </c>
      <c r="C75" s="8" t="s">
        <v>150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149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0.89100000000000001</v>
      </c>
      <c r="G77" s="88">
        <f t="shared" si="6"/>
        <v>0.89100000000000001</v>
      </c>
      <c r="H77" s="88">
        <f t="shared" si="6"/>
        <v>1</v>
      </c>
    </row>
    <row r="78" spans="1:8" x14ac:dyDescent="0.25">
      <c r="B78" s="103" t="s">
        <v>74</v>
      </c>
      <c r="C78" s="8" t="s">
        <v>150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149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0.89100000000000001</v>
      </c>
      <c r="G80" s="88">
        <f t="shared" si="6"/>
        <v>0.89100000000000001</v>
      </c>
      <c r="H80" s="88">
        <f t="shared" si="6"/>
        <v>1</v>
      </c>
    </row>
    <row r="81" spans="1:8" x14ac:dyDescent="0.25">
      <c r="B81" s="103" t="s">
        <v>77</v>
      </c>
      <c r="C81" s="8" t="s">
        <v>150</v>
      </c>
      <c r="D81" s="88">
        <f t="shared" si="6"/>
        <v>1</v>
      </c>
      <c r="E81" s="88">
        <f t="shared" si="6"/>
        <v>1</v>
      </c>
      <c r="F81" s="88">
        <f t="shared" si="6"/>
        <v>0.70200000000000007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149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0.70200000000000007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0.89100000000000001</v>
      </c>
      <c r="G83" s="88">
        <f t="shared" si="7"/>
        <v>0.89100000000000001</v>
      </c>
      <c r="H83" s="88">
        <f t="shared" si="7"/>
        <v>1</v>
      </c>
    </row>
    <row r="84" spans="1:8" x14ac:dyDescent="0.25">
      <c r="B84" s="103" t="s">
        <v>75</v>
      </c>
      <c r="C84" s="8" t="s">
        <v>150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0.70200000000000007</v>
      </c>
      <c r="H84" s="88">
        <f t="shared" si="7"/>
        <v>1</v>
      </c>
    </row>
    <row r="85" spans="1:8" x14ac:dyDescent="0.25">
      <c r="B85" s="104"/>
      <c r="C85" s="8" t="s">
        <v>149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0.70200000000000007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0.89100000000000001</v>
      </c>
      <c r="H86" s="88">
        <f t="shared" si="7"/>
        <v>1</v>
      </c>
    </row>
    <row r="87" spans="1:8" ht="13" customHeight="1" x14ac:dyDescent="0.25">
      <c r="B87" s="65" t="s">
        <v>148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0.85499999999999998</v>
      </c>
      <c r="G87" s="88">
        <f t="shared" si="7"/>
        <v>0.85499999999999998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240</v>
      </c>
      <c r="B89" s="103" t="s">
        <v>104</v>
      </c>
      <c r="C89" s="8" t="s">
        <v>150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149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78</v>
      </c>
      <c r="C92" s="8" t="s">
        <v>150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149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74</v>
      </c>
      <c r="C95" s="8" t="s">
        <v>150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149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77</v>
      </c>
      <c r="C98" s="8" t="s">
        <v>150</v>
      </c>
      <c r="D98" s="88">
        <f t="shared" si="8"/>
        <v>1</v>
      </c>
      <c r="E98" s="88">
        <f t="shared" si="8"/>
        <v>1</v>
      </c>
      <c r="F98" s="88">
        <f t="shared" si="8"/>
        <v>1.6380000000000001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149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1.6380000000000001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75</v>
      </c>
      <c r="C101" s="8" t="s">
        <v>150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1.6380000000000001</v>
      </c>
      <c r="H101" s="88">
        <f t="shared" si="9"/>
        <v>1</v>
      </c>
    </row>
    <row r="102" spans="1:8" x14ac:dyDescent="0.25">
      <c r="B102" s="104"/>
      <c r="C102" s="8" t="s">
        <v>149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1.6380000000000001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148</v>
      </c>
      <c r="C104" s="8" t="s">
        <v>155</v>
      </c>
      <c r="D104" s="88">
        <f t="shared" si="9"/>
        <v>0.94500000000000006</v>
      </c>
      <c r="E104" s="88">
        <f t="shared" si="9"/>
        <v>0.94500000000000006</v>
      </c>
      <c r="F104" s="88">
        <f t="shared" si="9"/>
        <v>0.94500000000000006</v>
      </c>
      <c r="G104" s="88">
        <f t="shared" si="9"/>
        <v>0.94500000000000006</v>
      </c>
      <c r="H104" s="88">
        <f t="shared" si="9"/>
        <v>1</v>
      </c>
    </row>
    <row r="106" spans="1:8" ht="13" customHeight="1" x14ac:dyDescent="0.3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ht="13" customHeight="1" x14ac:dyDescent="0.3">
      <c r="A108" s="4" t="s">
        <v>238</v>
      </c>
      <c r="B108" s="103" t="s">
        <v>104</v>
      </c>
      <c r="C108" s="8" t="s">
        <v>150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149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78</v>
      </c>
      <c r="C111" s="8" t="s">
        <v>150</v>
      </c>
      <c r="D111" s="88">
        <f>IF(ISBLANK('Distribución de lactancia'!$C$2),1.77,(1.77-'Distribución de lactancia'!$C$2)/(1-'Distribución de lactancia'!$C$2))</f>
        <v>2.2595167119874588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149</v>
      </c>
      <c r="D112" s="88">
        <f>IF(ISBLANK('Distribución de lactancia'!$C$2),1.77,(1.77-'Distribución de lactancia'!$C$2)/(1-'Distribución de lactancia'!$C$2))</f>
        <v>2.2595167119874588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74</v>
      </c>
      <c r="C114" s="8" t="s">
        <v>150</v>
      </c>
      <c r="D114" s="88">
        <f t="shared" si="12"/>
        <v>1</v>
      </c>
      <c r="E114" s="88">
        <f>IF(ISBLANK('Distribución de lactancia'!$D$2),1.77,(1.77-'Distribución de lactancia'!$D$2)/(1-'Distribución de lactancia'!$D$2))</f>
        <v>2.048430404372799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149</v>
      </c>
      <c r="D115" s="88">
        <f t="shared" si="12"/>
        <v>1</v>
      </c>
      <c r="E115" s="88">
        <f>IF(ISBLANK('Distribución de lactancia'!$D$2),1.77,(1.77-'Distribución de lactancia'!$D$2)/(1-'Distribución de lactancia'!$D$2))</f>
        <v>2.048430404372799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77</v>
      </c>
      <c r="C117" s="8" t="s">
        <v>150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149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75</v>
      </c>
      <c r="C120" s="8" t="s">
        <v>150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149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148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244</v>
      </c>
      <c r="B125" s="103" t="s">
        <v>104</v>
      </c>
      <c r="C125" s="8" t="s">
        <v>150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1.0289999999999999</v>
      </c>
      <c r="G125" s="88">
        <f t="shared" si="16"/>
        <v>1.0289999999999999</v>
      </c>
      <c r="H125" s="88">
        <f t="shared" si="16"/>
        <v>1</v>
      </c>
    </row>
    <row r="126" spans="1:8" x14ac:dyDescent="0.25">
      <c r="B126" s="104"/>
      <c r="C126" s="8" t="s">
        <v>149</v>
      </c>
      <c r="D126" s="88">
        <f t="shared" si="16"/>
        <v>1</v>
      </c>
      <c r="E126" s="88">
        <f t="shared" si="16"/>
        <v>1</v>
      </c>
      <c r="F126" s="88">
        <f t="shared" si="16"/>
        <v>1.0289999999999999</v>
      </c>
      <c r="G126" s="88">
        <f t="shared" si="16"/>
        <v>1.0289999999999999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1.0395000000000001</v>
      </c>
      <c r="G127" s="88">
        <f t="shared" si="16"/>
        <v>1.0395000000000001</v>
      </c>
      <c r="H127" s="88">
        <f t="shared" si="16"/>
        <v>1</v>
      </c>
    </row>
    <row r="128" spans="1:8" x14ac:dyDescent="0.25">
      <c r="B128" s="103" t="s">
        <v>78</v>
      </c>
      <c r="C128" s="8" t="s">
        <v>150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149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1.0395000000000001</v>
      </c>
      <c r="G130" s="88">
        <f t="shared" si="16"/>
        <v>1.0395000000000001</v>
      </c>
      <c r="H130" s="88">
        <f t="shared" si="16"/>
        <v>1</v>
      </c>
    </row>
    <row r="131" spans="1:8" x14ac:dyDescent="0.25">
      <c r="B131" s="103" t="s">
        <v>74</v>
      </c>
      <c r="C131" s="8" t="s">
        <v>150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149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1.0395000000000001</v>
      </c>
      <c r="G133" s="88">
        <f t="shared" si="16"/>
        <v>1.0395000000000001</v>
      </c>
      <c r="H133" s="88">
        <f t="shared" si="16"/>
        <v>1</v>
      </c>
    </row>
    <row r="134" spans="1:8" x14ac:dyDescent="0.25">
      <c r="B134" s="103" t="s">
        <v>77</v>
      </c>
      <c r="C134" s="8" t="s">
        <v>150</v>
      </c>
      <c r="D134" s="88">
        <f t="shared" si="16"/>
        <v>1</v>
      </c>
      <c r="E134" s="88">
        <f t="shared" si="16"/>
        <v>1</v>
      </c>
      <c r="F134" s="88">
        <f t="shared" si="16"/>
        <v>0.81900000000000006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149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0.81900000000000006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1.0395000000000001</v>
      </c>
      <c r="G136" s="88">
        <f t="shared" si="17"/>
        <v>1.0395000000000001</v>
      </c>
      <c r="H136" s="88">
        <f t="shared" si="17"/>
        <v>1</v>
      </c>
    </row>
    <row r="137" spans="1:8" x14ac:dyDescent="0.25">
      <c r="B137" s="103" t="s">
        <v>75</v>
      </c>
      <c r="C137" s="8" t="s">
        <v>150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0.81900000000000006</v>
      </c>
      <c r="H137" s="88">
        <f t="shared" si="17"/>
        <v>1</v>
      </c>
    </row>
    <row r="138" spans="1:8" x14ac:dyDescent="0.25">
      <c r="B138" s="104"/>
      <c r="C138" s="8" t="s">
        <v>149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0.81900000000000006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1.0395000000000001</v>
      </c>
      <c r="H139" s="88">
        <f t="shared" si="17"/>
        <v>1</v>
      </c>
    </row>
    <row r="140" spans="1:8" ht="13" customHeight="1" x14ac:dyDescent="0.25">
      <c r="B140" s="65" t="s">
        <v>148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0.99749999999999994</v>
      </c>
      <c r="G140" s="88">
        <f t="shared" si="17"/>
        <v>0.99749999999999994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241</v>
      </c>
      <c r="B142" s="103" t="s">
        <v>104</v>
      </c>
      <c r="C142" s="8" t="s">
        <v>150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149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78</v>
      </c>
      <c r="C145" s="8" t="s">
        <v>150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149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74</v>
      </c>
      <c r="C148" s="8" t="s">
        <v>150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149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77</v>
      </c>
      <c r="C151" s="8" t="s">
        <v>150</v>
      </c>
      <c r="D151" s="88">
        <f t="shared" si="18"/>
        <v>1</v>
      </c>
      <c r="E151" s="88">
        <f t="shared" si="18"/>
        <v>1</v>
      </c>
      <c r="F151" s="88">
        <f t="shared" si="18"/>
        <v>1.9110000000000003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149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1.9110000000000003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75</v>
      </c>
      <c r="C154" s="8" t="s">
        <v>150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1.9110000000000003</v>
      </c>
      <c r="H154" s="88">
        <f t="shared" si="19"/>
        <v>1</v>
      </c>
    </row>
    <row r="155" spans="2:8" x14ac:dyDescent="0.25">
      <c r="B155" s="104"/>
      <c r="C155" s="8" t="s">
        <v>149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1.9110000000000003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148</v>
      </c>
      <c r="C157" s="8" t="s">
        <v>155</v>
      </c>
      <c r="D157" s="88">
        <f t="shared" si="19"/>
        <v>1.1025</v>
      </c>
      <c r="E157" s="88">
        <f t="shared" si="19"/>
        <v>1.1025</v>
      </c>
      <c r="F157" s="88">
        <f t="shared" si="19"/>
        <v>1.1025</v>
      </c>
      <c r="G157" s="88">
        <f t="shared" si="19"/>
        <v>1.1025</v>
      </c>
      <c r="H157" s="88">
        <f t="shared" si="19"/>
        <v>1</v>
      </c>
    </row>
  </sheetData>
  <sheetProtection algorithmName="SHA-512" hashValue="FnqOOCHbls6fOLp0YnO4X51GI3uXifjkFuoe+coeRsLvBUPtLCLChJitO3bAq3VfvXrP80a1nPPOQwJFR61RzA==" saltValue="KdS8i/IfLhIT/s/x0//tfg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13" sqref="C13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248</v>
      </c>
    </row>
    <row r="2" spans="1:6" ht="15.75" customHeight="1" x14ac:dyDescent="0.3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3">
      <c r="A3" s="4" t="s">
        <v>255</v>
      </c>
      <c r="B3" s="14"/>
      <c r="C3" s="71"/>
      <c r="D3" s="72"/>
      <c r="E3" s="72"/>
      <c r="F3" s="72"/>
    </row>
    <row r="4" spans="1:6" ht="15.75" customHeight="1" x14ac:dyDescent="0.25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261</v>
      </c>
      <c r="C11" s="74"/>
      <c r="D11" s="75"/>
      <c r="E11" s="75"/>
      <c r="F11" s="75"/>
    </row>
    <row r="12" spans="1:6" ht="15.75" customHeight="1" x14ac:dyDescent="0.3">
      <c r="A12" s="4" t="s">
        <v>249</v>
      </c>
      <c r="C12" s="73"/>
      <c r="D12" s="64"/>
      <c r="E12" s="64"/>
      <c r="F12" s="64"/>
    </row>
    <row r="13" spans="1:6" ht="15.75" customHeight="1" x14ac:dyDescent="0.25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5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97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95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91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248</v>
      </c>
    </row>
    <row r="29" spans="1:6" ht="15.75" customHeight="1" x14ac:dyDescent="0.3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3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5">
      <c r="B31" s="5" t="s">
        <v>27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63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10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11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253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3">
      <c r="A39" s="4" t="s">
        <v>250</v>
      </c>
      <c r="C39" s="73"/>
      <c r="D39" s="64"/>
      <c r="E39" s="64"/>
      <c r="F39" s="64"/>
    </row>
    <row r="40" spans="1:6" ht="15.75" customHeight="1" x14ac:dyDescent="0.25">
      <c r="B40" s="11" t="s">
        <v>265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246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262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5">
      <c r="B45" s="5" t="s">
        <v>93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97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95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91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96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98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92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94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248</v>
      </c>
    </row>
    <row r="56" spans="1:6" ht="15.75" customHeight="1" x14ac:dyDescent="0.3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63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10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11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254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3">
      <c r="A66" s="4" t="s">
        <v>251</v>
      </c>
      <c r="C66" s="73"/>
      <c r="D66" s="64"/>
      <c r="E66" s="64"/>
      <c r="F66" s="64"/>
    </row>
    <row r="67" spans="1:6" ht="15.75" customHeight="1" x14ac:dyDescent="0.25">
      <c r="B67" s="11" t="s">
        <v>266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247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263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5">
      <c r="B72" s="5" t="s">
        <v>93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97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95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91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96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98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92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94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7w6ozPXLi/QR3KAalgmsU60nLCMvrc2IfNHaZxlICGOZ/Z9KEBYEcW5clJ9LxNb7h01pBhacx/j9tpVF+5RceQ==" saltValue="T3riIOLHB5UVaC13yON8a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48" zoomScaleNormal="100" workbookViewId="0">
      <selection activeCell="D12" sqref="D12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278</v>
      </c>
    </row>
    <row r="2" spans="1:16" ht="13" customHeight="1" x14ac:dyDescent="0.3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279</v>
      </c>
    </row>
    <row r="29" spans="1:16" ht="13" customHeight="1" x14ac:dyDescent="0.3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276</v>
      </c>
    </row>
    <row r="56" spans="1:16" ht="26" customHeight="1" x14ac:dyDescent="0.3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277</v>
      </c>
    </row>
    <row r="65" spans="1:16" ht="26" customHeight="1" x14ac:dyDescent="0.3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93</v>
      </c>
      <c r="C66" s="3" t="s">
        <v>124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97</v>
      </c>
      <c r="C70" s="3" t="s">
        <v>124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95</v>
      </c>
      <c r="C74" s="3" t="s">
        <v>124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ht="13" customHeight="1" x14ac:dyDescent="0.3">
      <c r="A113" s="4"/>
      <c r="B113" s="8" t="s">
        <v>84</v>
      </c>
      <c r="C113" s="3" t="s">
        <v>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273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274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272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102</v>
      </c>
      <c r="C117" s="3" t="s">
        <v>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273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274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272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273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274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272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3</v>
      </c>
      <c r="C125" s="3" t="s">
        <v>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273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274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272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2</v>
      </c>
      <c r="C129" s="3" t="s">
        <v>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273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274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272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99</v>
      </c>
      <c r="C133" s="3" t="s">
        <v>7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273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274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272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ht="13" customHeight="1" x14ac:dyDescent="0.3">
      <c r="A140" s="4"/>
      <c r="B140" s="8" t="s">
        <v>84</v>
      </c>
      <c r="C140" s="3" t="s">
        <v>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273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6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207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102</v>
      </c>
      <c r="C144" s="3" t="s">
        <v>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273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6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207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273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6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207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3</v>
      </c>
      <c r="C152" s="3" t="s">
        <v>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273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6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207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2</v>
      </c>
      <c r="C156" s="3" t="s">
        <v>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273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6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207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99</v>
      </c>
      <c r="C160" s="3" t="s">
        <v>7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273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6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207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ht="13" customHeight="1" x14ac:dyDescent="0.3">
      <c r="A167" s="4"/>
      <c r="B167" s="8" t="s">
        <v>81</v>
      </c>
      <c r="C167" s="3" t="s">
        <v>275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268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89</v>
      </c>
      <c r="C169" s="3" t="s">
        <v>275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268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275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268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ht="13" customHeight="1" x14ac:dyDescent="0.3">
      <c r="A176" s="82"/>
      <c r="B176" s="8" t="s">
        <v>93</v>
      </c>
      <c r="C176" s="3" t="s">
        <v>124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127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126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125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97</v>
      </c>
      <c r="C180" s="3" t="s">
        <v>124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127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126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125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95</v>
      </c>
      <c r="C184" s="3" t="s">
        <v>124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127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126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125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96</v>
      </c>
      <c r="C188" s="3" t="s">
        <v>124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127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126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125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84</v>
      </c>
      <c r="C192" s="3" t="s">
        <v>124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127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126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125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102</v>
      </c>
      <c r="C196" s="3" t="s">
        <v>124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127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126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125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124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127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126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125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2</v>
      </c>
      <c r="C204" s="3" t="s">
        <v>124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127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126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125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101</v>
      </c>
      <c r="C208" s="3" t="s">
        <v>124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127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126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125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ht="13" customHeight="1" x14ac:dyDescent="0.3">
      <c r="A215" s="4"/>
      <c r="C215" s="3" t="s">
        <v>124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127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126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125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245</v>
      </c>
      <c r="H220" s="92"/>
    </row>
    <row r="221" spans="1:9" ht="13" customHeight="1" x14ac:dyDescent="0.3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ht="13" customHeight="1" x14ac:dyDescent="0.3">
      <c r="A223" s="4"/>
      <c r="B223" s="8" t="s">
        <v>84</v>
      </c>
      <c r="C223" s="3" t="s">
        <v>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273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274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272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102</v>
      </c>
      <c r="C227" s="3" t="s">
        <v>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273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274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272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273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274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272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3</v>
      </c>
      <c r="C235" s="3" t="s">
        <v>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273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274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272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2</v>
      </c>
      <c r="C239" s="3" t="s">
        <v>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273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274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272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99</v>
      </c>
      <c r="C243" s="3" t="s">
        <v>7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273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274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272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ht="13" customHeight="1" x14ac:dyDescent="0.3">
      <c r="A250" s="4"/>
      <c r="B250" s="8" t="s">
        <v>84</v>
      </c>
      <c r="C250" s="3" t="s">
        <v>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273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6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207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102</v>
      </c>
      <c r="C254" s="3" t="s">
        <v>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273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6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207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273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6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207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3</v>
      </c>
      <c r="C262" s="3" t="s">
        <v>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273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6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207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2</v>
      </c>
      <c r="C266" s="3" t="s">
        <v>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273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6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207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99</v>
      </c>
      <c r="C270" s="3" t="s">
        <v>7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273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6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207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ht="13" customHeight="1" x14ac:dyDescent="0.3">
      <c r="A277" s="4"/>
      <c r="B277" s="8" t="s">
        <v>81</v>
      </c>
      <c r="C277" s="3" t="s">
        <v>275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268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89</v>
      </c>
      <c r="C279" s="3" t="s">
        <v>275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268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275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268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ht="13" customHeight="1" x14ac:dyDescent="0.3">
      <c r="A286" s="82"/>
      <c r="B286" s="8" t="s">
        <v>93</v>
      </c>
      <c r="C286" s="3" t="s">
        <v>124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127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126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125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97</v>
      </c>
      <c r="C290" s="3" t="s">
        <v>124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127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126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125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95</v>
      </c>
      <c r="C294" s="3" t="s">
        <v>124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127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126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125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96</v>
      </c>
      <c r="C298" s="3" t="s">
        <v>124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127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126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125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84</v>
      </c>
      <c r="C302" s="3" t="s">
        <v>124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127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126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125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102</v>
      </c>
      <c r="C306" s="3" t="s">
        <v>124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127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126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125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124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127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126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125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2</v>
      </c>
      <c r="C314" s="3" t="s">
        <v>124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127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126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125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101</v>
      </c>
      <c r="C318" s="3" t="s">
        <v>124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127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126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125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ht="13" customHeight="1" x14ac:dyDescent="0.3">
      <c r="A325" s="4"/>
      <c r="C325" s="3" t="s">
        <v>124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127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126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125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OW6hLx2g0V06YM8E28MRNILd0r17X/iwzU/KiUkbX8TmMdLF32QEfQHIWqi1wq+qerILt4OvKXkFLWIimW9Wuw==" saltValue="ljWbTbXFxGs6RX0+MHdb4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313</v>
      </c>
    </row>
    <row r="2" spans="1:7" ht="14.25" customHeight="1" x14ac:dyDescent="0.3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5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283</v>
      </c>
    </row>
    <row r="6" spans="1:7" ht="14.25" customHeight="1" x14ac:dyDescent="0.25">
      <c r="B6" s="5" t="s">
        <v>193</v>
      </c>
      <c r="C6" s="90">
        <v>1</v>
      </c>
      <c r="D6" s="90">
        <v>1</v>
      </c>
      <c r="E6" s="90">
        <f>IF(ISBLANK('Distribución estado nutricional'!$E$4),0.64, (0.64*SUM('Distribución estado nutricional'!$E$4:$E$5)/(1-0.64*SUM('Distribución estado nutricional'!$E$4:$E$5)))/ (SUM('Distribución estado nutricional'!$E$4:$E$5)/(1-SUM('Distribución estado nutricional'!$E$4:$E$5))))</f>
        <v>0.57679238152674961</v>
      </c>
      <c r="F6" s="90">
        <f>IF(ISBLANK('Distribución estado nutricional'!$E$4),0.64, (0.64*SUM('Distribución estado nutricional'!$E$4:$E$5)/(1-0.64*SUM('Distribución estado nutricional'!$E$4:$E$5)))/ (SUM('Distribución estado nutricional'!$E$4:$E$5)/(1-SUM('Distribución estado nutricional'!$E$4:$E$5))))</f>
        <v>0.57679238152674961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0.84898797012427496</v>
      </c>
      <c r="F7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0.84898797012427496</v>
      </c>
      <c r="G7" s="90">
        <v>1</v>
      </c>
    </row>
    <row r="8" spans="1:7" ht="14.25" customHeight="1" x14ac:dyDescent="0.25">
      <c r="B8" s="5" t="s">
        <v>204</v>
      </c>
      <c r="C8" s="90">
        <v>1</v>
      </c>
      <c r="D8" s="90">
        <v>1</v>
      </c>
      <c r="E8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0.84898797012427496</v>
      </c>
      <c r="F8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0.84898797012427496</v>
      </c>
      <c r="G8" s="90">
        <v>1</v>
      </c>
    </row>
    <row r="9" spans="1:7" ht="14.25" customHeight="1" x14ac:dyDescent="0.25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307</v>
      </c>
    </row>
    <row r="12" spans="1:7" ht="14.25" customHeight="1" x14ac:dyDescent="0.3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314</v>
      </c>
    </row>
    <row r="15" spans="1:7" ht="14.25" customHeight="1" x14ac:dyDescent="0.3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310</v>
      </c>
    </row>
    <row r="20" spans="1:7" s="14" customFormat="1" ht="14.25" customHeight="1" x14ac:dyDescent="0.3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5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313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5">
      <c r="B26" s="11" t="s">
        <v>301</v>
      </c>
      <c r="C26" s="90" t="s">
        <v>8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287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284</v>
      </c>
    </row>
    <row r="29" spans="1:7" x14ac:dyDescent="0.25">
      <c r="B29" s="5" t="s">
        <v>315</v>
      </c>
      <c r="C29" s="90">
        <f t="shared" ref="C29:D32" si="0">IF(C6=1,1,C6*0.9)</f>
        <v>1</v>
      </c>
      <c r="D29" s="90">
        <f t="shared" si="0"/>
        <v>1</v>
      </c>
      <c r="E29" s="90">
        <f>IF(ISBLANK('Distribución estado nutricional'!$E$4),0.44, (0.44*SUM('Distribución estado nutricional'!$E$4:$E$5)/(1-0.44*SUM('Distribución estado nutricional'!$E$4:$E$5)))/ (SUM('Distribución estado nutricional'!$E$4:$E$5)/(1-SUM('Distribución estado nutricional'!$E$4:$E$5))))</f>
        <v>0.3759189452277461</v>
      </c>
      <c r="F29" s="90">
        <f>IF(ISBLANK('Distribución estado nutricional'!$E$4),0.44, (0.44*SUM('Distribución estado nutricional'!$E$4:$E$5)/(1-0.44*SUM('Distribución estado nutricional'!$E$4:$E$5)))/ (SUM('Distribución estado nutricional'!$E$4:$E$5)/(1-SUM('Distribución estado nutricional'!$E$4:$E$5))))</f>
        <v>0.3759189452277461</v>
      </c>
      <c r="G29" s="90">
        <f>IF(G6=1,1,G6*0.9)</f>
        <v>1</v>
      </c>
    </row>
    <row r="30" spans="1:7" x14ac:dyDescent="0.25">
      <c r="B30" s="5" t="s">
        <v>305</v>
      </c>
      <c r="C30" s="90">
        <f t="shared" si="0"/>
        <v>1</v>
      </c>
      <c r="D30" s="90">
        <f t="shared" si="0"/>
        <v>1</v>
      </c>
      <c r="E30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0.81288350310757906</v>
      </c>
      <c r="F30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0.81288350310757906</v>
      </c>
      <c r="G30" s="90">
        <f>IF(G7=1,1,G7*0.9)</f>
        <v>1</v>
      </c>
    </row>
    <row r="31" spans="1:7" x14ac:dyDescent="0.25">
      <c r="B31" s="5" t="s">
        <v>319</v>
      </c>
      <c r="C31" s="90">
        <f t="shared" si="0"/>
        <v>1</v>
      </c>
      <c r="D31" s="90">
        <f t="shared" si="0"/>
        <v>1</v>
      </c>
      <c r="E31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0.81288350310757906</v>
      </c>
      <c r="F31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0.81288350310757906</v>
      </c>
      <c r="G31" s="90">
        <f>IF(G8=1,1,G8*0.9)</f>
        <v>1</v>
      </c>
    </row>
    <row r="32" spans="1:7" x14ac:dyDescent="0.25">
      <c r="B32" s="5" t="s">
        <v>317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308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314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282</v>
      </c>
      <c r="B38" s="5" t="s">
        <v>295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105</v>
      </c>
      <c r="B40" s="11" t="s">
        <v>298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311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5">
      <c r="B44" s="11" t="s">
        <v>289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245</v>
      </c>
    </row>
    <row r="47" spans="1:7" ht="13" customHeight="1" x14ac:dyDescent="0.3">
      <c r="A47" s="67" t="s">
        <v>313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5">
      <c r="B49" s="11" t="s">
        <v>302</v>
      </c>
      <c r="C49" s="90" t="s">
        <v>8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288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285</v>
      </c>
    </row>
    <row r="52" spans="1:7" x14ac:dyDescent="0.25">
      <c r="B52" s="5" t="s">
        <v>316</v>
      </c>
      <c r="C52" s="90">
        <f t="shared" ref="C52:D55" si="3">IF(C6=1,1,C6*1.1)</f>
        <v>1</v>
      </c>
      <c r="D52" s="90">
        <f t="shared" si="3"/>
        <v>1</v>
      </c>
      <c r="E52" s="90">
        <f>IF(ISBLANK('Distribución estado nutricional'!$E$4),0.92, (0.92*SUM('Distribución estado nutricional'!$E$4:$E$5)/(1-0.92*SUM('Distribución estado nutricional'!$E$4:$E$5)))/ (SUM('Distribución estado nutricional'!$E$4:$E$5)/(1-SUM('Distribución estado nutricional'!$E$4:$E$5))))</f>
        <v>0.8981286323951061</v>
      </c>
      <c r="F52" s="90">
        <f>IF(ISBLANK('Distribución estado nutricional'!$E$4),0.92, (0.92*SUM('Distribución estado nutricional'!$E$4:$E$5)/(1-0.92*SUM('Distribución estado nutricional'!$E$4:$E$5)))/ (SUM('Distribución estado nutricional'!$E$4:$E$5)/(1-SUM('Distribución estado nutricional'!$E$4:$E$5))))</f>
        <v>0.8981286323951061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0.88573426956880186</v>
      </c>
      <c r="F53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0.88573426956880186</v>
      </c>
      <c r="G53" s="90">
        <f>IF(G7=1,1,G7*1.1)</f>
        <v>1</v>
      </c>
    </row>
    <row r="54" spans="1:7" x14ac:dyDescent="0.25">
      <c r="B54" s="5" t="s">
        <v>320</v>
      </c>
      <c r="C54" s="90">
        <f t="shared" si="3"/>
        <v>1</v>
      </c>
      <c r="D54" s="90">
        <f t="shared" si="3"/>
        <v>1</v>
      </c>
      <c r="E54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0.88573426956880186</v>
      </c>
      <c r="F54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0.88573426956880186</v>
      </c>
      <c r="G54" s="90">
        <f>IF(G8=1,1,G8*1.1)</f>
        <v>1</v>
      </c>
    </row>
    <row r="55" spans="1:7" x14ac:dyDescent="0.25">
      <c r="B55" s="5" t="s">
        <v>318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309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314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282</v>
      </c>
      <c r="B61" s="5" t="s">
        <v>296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293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105</v>
      </c>
      <c r="B63" s="11" t="s">
        <v>299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312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5">
      <c r="B67" s="11" t="s">
        <v>290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32SyEIpr9sra7NrIRvx7cOHXrpSRUIgTquK25t2sMCGZXBe7RYjtXI6pLujgZxsEL7WKuH4KsSVZ/h0CHX52pg==" saltValue="CUIO2FCS33SF1oYIz2f0Y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D12" sqref="D12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5">
      <c r="A2" s="5" t="s">
        <v>165</v>
      </c>
      <c r="B2" s="5" t="s">
        <v>322</v>
      </c>
      <c r="C2" s="90">
        <v>0.71</v>
      </c>
      <c r="D2" s="90">
        <v>0.71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178</v>
      </c>
      <c r="B4" s="5" t="s">
        <v>322</v>
      </c>
      <c r="C4" s="90">
        <v>0.39</v>
      </c>
      <c r="D4" s="90">
        <v>0.39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179</v>
      </c>
      <c r="B6" s="5" t="s">
        <v>322</v>
      </c>
      <c r="C6" s="90">
        <v>0.39</v>
      </c>
      <c r="D6" s="90">
        <v>0.39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191</v>
      </c>
      <c r="B12" s="5" t="s">
        <v>322</v>
      </c>
      <c r="C12" s="90">
        <f>0.93*C4</f>
        <v>0.36270000000000002</v>
      </c>
      <c r="D12" s="90">
        <f>0.93*D4</f>
        <v>0.36270000000000002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5">
      <c r="A17" s="5" t="s">
        <v>165</v>
      </c>
      <c r="B17" s="5" t="s">
        <v>322</v>
      </c>
      <c r="C17" s="90">
        <v>0.54</v>
      </c>
      <c r="D17" s="90">
        <v>0.54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178</v>
      </c>
      <c r="B19" s="5" t="s">
        <v>322</v>
      </c>
      <c r="C19" s="90">
        <v>0.17</v>
      </c>
      <c r="D19" s="90">
        <v>0.17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179</v>
      </c>
      <c r="B21" s="5" t="s">
        <v>322</v>
      </c>
      <c r="C21" s="90">
        <v>0.17</v>
      </c>
      <c r="D21" s="90">
        <v>0.17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180</v>
      </c>
      <c r="B23" s="5" t="s">
        <v>322</v>
      </c>
      <c r="C23" s="90">
        <f>C10*0.9</f>
        <v>0.315</v>
      </c>
      <c r="D23" s="90">
        <f>D10*0.9</f>
        <v>0.315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322</v>
      </c>
      <c r="C25" s="90">
        <f>C10*0.9</f>
        <v>0.315</v>
      </c>
      <c r="D25" s="90">
        <f>D10*0.9</f>
        <v>0.315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191</v>
      </c>
      <c r="B27" s="5" t="s">
        <v>322</v>
      </c>
      <c r="C27" s="90">
        <f>0.93*C19</f>
        <v>0.15810000000000002</v>
      </c>
      <c r="D27" s="90">
        <f>0.93*D19</f>
        <v>0.15810000000000002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245</v>
      </c>
    </row>
    <row r="31" spans="1:6" ht="15.75" customHeight="1" x14ac:dyDescent="0.3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5">
      <c r="A32" s="5" t="s">
        <v>165</v>
      </c>
      <c r="B32" s="5" t="s">
        <v>322</v>
      </c>
      <c r="C32" s="90">
        <v>0.94</v>
      </c>
      <c r="D32" s="90">
        <v>0.94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178</v>
      </c>
      <c r="B34" s="5" t="s">
        <v>322</v>
      </c>
      <c r="C34" s="90">
        <v>0.86</v>
      </c>
      <c r="D34" s="90">
        <v>0.86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179</v>
      </c>
      <c r="B36" s="5" t="s">
        <v>322</v>
      </c>
      <c r="C36" s="90">
        <f>C6*1.1</f>
        <v>0.42900000000000005</v>
      </c>
      <c r="D36" s="90">
        <f>D6*1.1</f>
        <v>0.42900000000000005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180</v>
      </c>
      <c r="B38" s="5" t="s">
        <v>322</v>
      </c>
      <c r="C38" s="90">
        <f>C8*1.1</f>
        <v>0.38500000000000001</v>
      </c>
      <c r="D38" s="90">
        <f>D8*1.1</f>
        <v>0.38500000000000001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322</v>
      </c>
      <c r="C40" s="90">
        <f>C10*1.1</f>
        <v>0.38500000000000001</v>
      </c>
      <c r="D40" s="90">
        <f>D10*1.1</f>
        <v>0.38500000000000001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191</v>
      </c>
      <c r="B42" s="5" t="s">
        <v>322</v>
      </c>
      <c r="C42" s="90">
        <f>0.93*C34</f>
        <v>0.79980000000000007</v>
      </c>
      <c r="D42" s="90">
        <f>0.93*D34</f>
        <v>0.79980000000000007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Q9O56Tji+07pbmEpyK7qTbwyujz+vplpDzQ+0SbHdO2dXUsBl+qK9Mm8jjXtWpiCUziFQL/XObBnM94dfpuVNg==" saltValue="X01LBZlfF37xzdPIMuKEH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ht="13" customHeight="1" x14ac:dyDescent="0.3">
      <c r="A2" s="4" t="s">
        <v>326</v>
      </c>
    </row>
    <row r="3" spans="1:15" x14ac:dyDescent="0.25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0.49</v>
      </c>
      <c r="M8" s="90">
        <v>0.49</v>
      </c>
      <c r="N8" s="90">
        <v>0.49</v>
      </c>
      <c r="O8" s="90">
        <v>0.49</v>
      </c>
    </row>
    <row r="9" spans="1:15" x14ac:dyDescent="0.25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0.49</v>
      </c>
      <c r="M9" s="90">
        <v>0.49</v>
      </c>
      <c r="N9" s="90">
        <v>0.49</v>
      </c>
      <c r="O9" s="90">
        <v>0.49</v>
      </c>
    </row>
    <row r="10" spans="1:15" x14ac:dyDescent="0.25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204</v>
      </c>
      <c r="C15" s="90">
        <v>1</v>
      </c>
      <c r="D15" s="90">
        <v>1</v>
      </c>
      <c r="E15" s="90">
        <v>0.84</v>
      </c>
      <c r="F15" s="90">
        <v>0.84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171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172</v>
      </c>
      <c r="C19" s="90">
        <v>1</v>
      </c>
      <c r="D19" s="90">
        <v>1</v>
      </c>
      <c r="E19" s="90">
        <f>IF(ISBLANK('Distribución estado nutricional'!E$14),0.72,(0.72*'Distribución estado nutricional'!E$14/(1-0.72*'Distribución estado nutricional'!E$14))
/ ('Distribución estado nutricional'!E$14/(1-'Distribución estado nutricional'!E$14)))</f>
        <v>0.31144107948511696</v>
      </c>
      <c r="F19" s="90">
        <f>IF(ISBLANK('Distribución estado nutricional'!F$14),0.72,(0.72*'Distribución estado nutricional'!F$14/(1-0.72*'Distribución estado nutricional'!F$14))
/ ('Distribución estado nutricional'!F$14/(1-'Distribución estado nutricional'!F$14)))</f>
        <v>0.44495645188219313</v>
      </c>
      <c r="G19" s="90">
        <f>IF(ISBLANK('Distribución estado nutricional'!G$14),0.72,(0.72*'Distribución estado nutricional'!G$14/(1-0.72*'Distribución estado nutricional'!G$14))
/ ('Distribución estado nutricional'!G$14/(1-'Distribución estado nutricional'!G$14)))</f>
        <v>0.44495645188219313</v>
      </c>
      <c r="H19" s="90">
        <f>IF(ISBLANK('Distribución estado nutricional'!H$14),0.72,(0.72*'Distribución estado nutricional'!H$14/(1-0.72*'Distribución estado nutricional'!H$14))
/ ('Distribución estado nutricional'!H$14/(1-'Distribución estado nutricional'!H$14)))</f>
        <v>0.52041655248013163</v>
      </c>
      <c r="I19" s="90">
        <f>IF(ISBLANK('Distribución estado nutricional'!I$14),0.72,(0.72*'Distribución estado nutricional'!I$14/(1-0.72*'Distribución estado nutricional'!I$14))
/ ('Distribución estado nutricional'!I$14/(1-'Distribución estado nutricional'!I$14)))</f>
        <v>0.52041655248013163</v>
      </c>
      <c r="J19" s="90">
        <f>IF(ISBLANK('Distribución estado nutricional'!J$14),0.72,(0.72*'Distribución estado nutricional'!J$14/(1-0.72*'Distribución estado nutricional'!J$14))
/ ('Distribución estado nutricional'!J$14/(1-'Distribución estado nutricional'!J$14)))</f>
        <v>0.52041655248013163</v>
      </c>
      <c r="K19" s="90">
        <f>IF(ISBLANK('Distribución estado nutricional'!K$14),0.72,(0.72*'Distribución estado nutricional'!K$14/(1-0.72*'Distribución estado nutricional'!K$14))
/ ('Distribución estado nutricional'!K$14/(1-'Distribución estado nutricional'!K$14)))</f>
        <v>0.52041655248013163</v>
      </c>
      <c r="L19" s="90">
        <f>IF(ISBLANK('Distribución estado nutricional'!L$14),0.72,(0.72*'Distribución estado nutricional'!L$14/(1-0.72*'Distribución estado nutricional'!L$14))
/ ('Distribución estado nutricional'!L$14/(1-'Distribución estado nutricional'!L$14)))</f>
        <v>0.56832757770103604</v>
      </c>
      <c r="M19" s="90">
        <f>IF(ISBLANK('Distribución estado nutricional'!M$14),0.72,(0.72*'Distribución estado nutricional'!M$14/(1-0.72*'Distribución estado nutricional'!M$14))
/ ('Distribución estado nutricional'!M$14/(1-'Distribución estado nutricional'!M$14)))</f>
        <v>0.56832757770103604</v>
      </c>
      <c r="N19" s="90">
        <f>IF(ISBLANK('Distribución estado nutricional'!N$14),0.72,(0.72*'Distribución estado nutricional'!N$14/(1-0.72*'Distribución estado nutricional'!N$14))
/ ('Distribución estado nutricional'!N$14/(1-'Distribución estado nutricional'!N$14)))</f>
        <v>0.56832757770103604</v>
      </c>
      <c r="O19" s="90">
        <f>IF(ISBLANK('Distribución estado nutricional'!O$14),0.72,(0.72*'Distribución estado nutricional'!O$14/(1-0.72*'Distribución estado nutricional'!O$14))
/ ('Distribución estado nutricional'!O$14/(1-'Distribución estado nutricional'!O$14)))</f>
        <v>0.56832757770103604</v>
      </c>
    </row>
    <row r="20" spans="1:15" x14ac:dyDescent="0.25">
      <c r="B20" s="5" t="s">
        <v>173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181</v>
      </c>
      <c r="C21" s="90">
        <v>1</v>
      </c>
      <c r="D21" s="90">
        <v>1</v>
      </c>
      <c r="E21" s="90">
        <f>IF(ISBLANK('Distribución estado nutricional'!E$14),0.8,(0.8*'Distribución estado nutricional'!E$14/(1-0.8*'Distribución estado nutricional'!E$14))
/ ('Distribución estado nutricional'!E$14/(1-'Distribución estado nutricional'!E$14)))</f>
        <v>0.41300466824817894</v>
      </c>
      <c r="F21" s="90">
        <f>IF(ISBLANK('Distribución estado nutricional'!F$14),0.8,(0.8*'Distribución estado nutricional'!F$14/(1-0.8*'Distribución estado nutricional'!F$14))
/ ('Distribución estado nutricional'!F$14/(1-'Distribución estado nutricional'!F$14)))</f>
        <v>0.55496758711091465</v>
      </c>
      <c r="G21" s="90">
        <f>IF(ISBLANK('Distribución estado nutricional'!G$14),0.8,(0.8*'Distribución estado nutricional'!G$14/(1-0.8*'Distribución estado nutricional'!G$14))
/ ('Distribución estado nutricional'!G$14/(1-'Distribución estado nutricional'!G$14)))</f>
        <v>0.55496758711091465</v>
      </c>
      <c r="H21" s="90">
        <f>IF(ISBLANK('Distribución estado nutricional'!H$14),0.8,(0.8*'Distribución estado nutricional'!H$14/(1-0.8*'Distribución estado nutricional'!H$14))
/ ('Distribución estado nutricional'!H$14/(1-'Distribución estado nutricional'!H$14)))</f>
        <v>0.62797619047619047</v>
      </c>
      <c r="I21" s="90">
        <f>IF(ISBLANK('Distribución estado nutricional'!I$14),0.8,(0.8*'Distribución estado nutricional'!I$14/(1-0.8*'Distribución estado nutricional'!I$14))
/ ('Distribución estado nutricional'!I$14/(1-'Distribución estado nutricional'!I$14)))</f>
        <v>0.62797619047619047</v>
      </c>
      <c r="J21" s="90">
        <f>IF(ISBLANK('Distribución estado nutricional'!J$14),0.8,(0.8*'Distribución estado nutricional'!J$14/(1-0.8*'Distribución estado nutricional'!J$14))
/ ('Distribución estado nutricional'!J$14/(1-'Distribución estado nutricional'!J$14)))</f>
        <v>0.62797619047619047</v>
      </c>
      <c r="K21" s="90">
        <f>IF(ISBLANK('Distribución estado nutricional'!K$14),0.8,(0.8*'Distribución estado nutricional'!K$14/(1-0.8*'Distribución estado nutricional'!K$14))
/ ('Distribución estado nutricional'!K$14/(1-'Distribución estado nutricional'!K$14)))</f>
        <v>0.62797619047619047</v>
      </c>
      <c r="L21" s="90">
        <f>IF(ISBLANK('Distribución estado nutricional'!L$14),0.8,(0.8*'Distribución estado nutricional'!L$14/(1-0.8*'Distribución estado nutricional'!L$14))
/ ('Distribución estado nutricional'!L$14/(1-'Distribución estado nutricional'!L$14)))</f>
        <v>0.67191601049868788</v>
      </c>
      <c r="M21" s="90">
        <f>IF(ISBLANK('Distribución estado nutricional'!M$14),0.8,(0.8*'Distribución estado nutricional'!M$14/(1-0.8*'Distribución estado nutricional'!M$14))
/ ('Distribución estado nutricional'!M$14/(1-'Distribución estado nutricional'!M$14)))</f>
        <v>0.67191601049868788</v>
      </c>
      <c r="N21" s="90">
        <f>IF(ISBLANK('Distribución estado nutricional'!N$14),0.8,(0.8*'Distribución estado nutricional'!N$14/(1-0.8*'Distribución estado nutricional'!N$14))
/ ('Distribución estado nutricional'!N$14/(1-'Distribución estado nutricional'!N$14)))</f>
        <v>0.67191601049868788</v>
      </c>
      <c r="O21" s="90">
        <f>IF(ISBLANK('Distribución estado nutricional'!O$14),0.8,(0.8*'Distribución estado nutricional'!O$14/(1-0.8*'Distribución estado nutricional'!O$14))
/ ('Distribución estado nutricional'!O$14/(1-'Distribución estado nutricional'!O$14)))</f>
        <v>0.67191601049868788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ht="13" customHeight="1" x14ac:dyDescent="0.3">
      <c r="A25" s="4" t="s">
        <v>327</v>
      </c>
    </row>
    <row r="26" spans="1:15" x14ac:dyDescent="0.25">
      <c r="B26" s="11" t="s">
        <v>169</v>
      </c>
      <c r="C26" s="90">
        <f t="shared" ref="C26:O26" si="0">IF(C3=1,1,C3*0.9)</f>
        <v>0.47700000000000004</v>
      </c>
      <c r="D26" s="90">
        <f t="shared" si="0"/>
        <v>0.47700000000000004</v>
      </c>
      <c r="E26" s="90">
        <f t="shared" si="0"/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174</v>
      </c>
      <c r="C27" s="90">
        <f t="shared" ref="C27:O27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1</v>
      </c>
      <c r="M27" s="90">
        <f t="shared" si="1"/>
        <v>1</v>
      </c>
      <c r="N27" s="90">
        <f t="shared" si="1"/>
        <v>1</v>
      </c>
      <c r="O27" s="90">
        <f t="shared" si="1"/>
        <v>1</v>
      </c>
    </row>
    <row r="28" spans="1:15" x14ac:dyDescent="0.25">
      <c r="B28" s="11" t="s">
        <v>175</v>
      </c>
      <c r="C28" s="90">
        <f t="shared" ref="C28:O28" si="2">IF(C5=1,1,C5*0.9)</f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176</v>
      </c>
      <c r="C29" s="90">
        <f t="shared" ref="C29:O29" si="3">IF(C6=1,1,C6*0.9)</f>
        <v>1</v>
      </c>
      <c r="D29" s="90">
        <f t="shared" si="3"/>
        <v>1</v>
      </c>
      <c r="E29" s="90">
        <f t="shared" si="3"/>
        <v>1</v>
      </c>
      <c r="F29" s="90">
        <f t="shared" si="3"/>
        <v>1</v>
      </c>
      <c r="G29" s="90">
        <f t="shared" si="3"/>
        <v>1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177</v>
      </c>
      <c r="C30" s="90">
        <f t="shared" ref="C30:O30" si="4">IF(C7=1,1,C7*0.9)</f>
        <v>1</v>
      </c>
      <c r="D30" s="90">
        <f t="shared" si="4"/>
        <v>1</v>
      </c>
      <c r="E30" s="90">
        <f t="shared" si="4"/>
        <v>1</v>
      </c>
      <c r="F30" s="90">
        <f t="shared" si="4"/>
        <v>1</v>
      </c>
      <c r="G30" s="90">
        <f t="shared" si="4"/>
        <v>1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1</v>
      </c>
      <c r="M30" s="90">
        <f t="shared" si="4"/>
        <v>1</v>
      </c>
      <c r="N30" s="90">
        <f t="shared" si="4"/>
        <v>1</v>
      </c>
      <c r="O30" s="90">
        <f t="shared" si="4"/>
        <v>1</v>
      </c>
    </row>
    <row r="31" spans="1:15" x14ac:dyDescent="0.25">
      <c r="B31" s="5" t="s">
        <v>178</v>
      </c>
      <c r="C31" s="90">
        <f t="shared" ref="C31:O31" si="5">IF(C8=1,1,C8*0.9)</f>
        <v>1</v>
      </c>
      <c r="D31" s="90">
        <f t="shared" si="5"/>
        <v>1</v>
      </c>
      <c r="E31" s="90">
        <f t="shared" si="5"/>
        <v>1</v>
      </c>
      <c r="F31" s="90">
        <f t="shared" si="5"/>
        <v>1</v>
      </c>
      <c r="G31" s="90">
        <f t="shared" si="5"/>
        <v>1</v>
      </c>
      <c r="H31" s="90">
        <f t="shared" si="5"/>
        <v>1</v>
      </c>
      <c r="I31" s="90">
        <f t="shared" si="5"/>
        <v>1</v>
      </c>
      <c r="J31" s="90">
        <f t="shared" si="5"/>
        <v>1</v>
      </c>
      <c r="K31" s="90">
        <f t="shared" si="5"/>
        <v>1</v>
      </c>
      <c r="L31" s="90">
        <f t="shared" si="5"/>
        <v>0.441</v>
      </c>
      <c r="M31" s="90">
        <f t="shared" si="5"/>
        <v>0.441</v>
      </c>
      <c r="N31" s="90">
        <f t="shared" si="5"/>
        <v>0.441</v>
      </c>
      <c r="O31" s="90">
        <f t="shared" si="5"/>
        <v>0.441</v>
      </c>
    </row>
    <row r="32" spans="1:15" x14ac:dyDescent="0.25">
      <c r="B32" s="5" t="s">
        <v>179</v>
      </c>
      <c r="C32" s="90">
        <f t="shared" ref="C32:O32" si="6">IF(C9=1,1,C9*0.9)</f>
        <v>1</v>
      </c>
      <c r="D32" s="90">
        <f t="shared" si="6"/>
        <v>1</v>
      </c>
      <c r="E32" s="90">
        <f t="shared" si="6"/>
        <v>1</v>
      </c>
      <c r="F32" s="90">
        <f t="shared" si="6"/>
        <v>1</v>
      </c>
      <c r="G32" s="90">
        <f t="shared" si="6"/>
        <v>1</v>
      </c>
      <c r="H32" s="90">
        <f t="shared" si="6"/>
        <v>1</v>
      </c>
      <c r="I32" s="90">
        <f t="shared" si="6"/>
        <v>1</v>
      </c>
      <c r="J32" s="90">
        <f t="shared" si="6"/>
        <v>1</v>
      </c>
      <c r="K32" s="90">
        <f t="shared" si="6"/>
        <v>1</v>
      </c>
      <c r="L32" s="90">
        <f t="shared" si="6"/>
        <v>0.441</v>
      </c>
      <c r="M32" s="90">
        <f t="shared" si="6"/>
        <v>0.441</v>
      </c>
      <c r="N32" s="90">
        <f t="shared" si="6"/>
        <v>0.441</v>
      </c>
      <c r="O32" s="90">
        <f t="shared" si="6"/>
        <v>0.441</v>
      </c>
    </row>
    <row r="33" spans="1:15" x14ac:dyDescent="0.25">
      <c r="B33" s="11" t="s">
        <v>180</v>
      </c>
      <c r="C33" s="90">
        <f t="shared" ref="C33:O33" si="7">IF(C10=1,1,C10*0.9)</f>
        <v>1</v>
      </c>
      <c r="D33" s="90">
        <f t="shared" si="7"/>
        <v>1</v>
      </c>
      <c r="E33" s="90">
        <f t="shared" si="7"/>
        <v>1</v>
      </c>
      <c r="F33" s="90">
        <f t="shared" si="7"/>
        <v>1</v>
      </c>
      <c r="G33" s="90">
        <f t="shared" si="7"/>
        <v>1</v>
      </c>
      <c r="H33" s="90">
        <f t="shared" si="7"/>
        <v>1</v>
      </c>
      <c r="I33" s="90">
        <f t="shared" si="7"/>
        <v>1</v>
      </c>
      <c r="J33" s="90">
        <f t="shared" si="7"/>
        <v>1</v>
      </c>
      <c r="K33" s="90">
        <f t="shared" si="7"/>
        <v>1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IF(C11=1,1,C11*0.9)</f>
        <v>1</v>
      </c>
      <c r="D34" s="90">
        <f t="shared" si="8"/>
        <v>1</v>
      </c>
      <c r="E34" s="90">
        <f t="shared" si="8"/>
        <v>0.621</v>
      </c>
      <c r="F34" s="90">
        <f t="shared" si="8"/>
        <v>0.621</v>
      </c>
      <c r="G34" s="90">
        <f t="shared" si="8"/>
        <v>1</v>
      </c>
      <c r="H34" s="90">
        <f t="shared" si="8"/>
        <v>1</v>
      </c>
      <c r="I34" s="90">
        <f t="shared" si="8"/>
        <v>1</v>
      </c>
      <c r="J34" s="90">
        <f t="shared" si="8"/>
        <v>1</v>
      </c>
      <c r="K34" s="90">
        <f t="shared" si="8"/>
        <v>1</v>
      </c>
      <c r="L34" s="90">
        <f t="shared" si="8"/>
        <v>1</v>
      </c>
      <c r="M34" s="90">
        <f t="shared" si="8"/>
        <v>1</v>
      </c>
      <c r="N34" s="90">
        <f t="shared" si="8"/>
        <v>1</v>
      </c>
      <c r="O34" s="90">
        <f t="shared" si="8"/>
        <v>1</v>
      </c>
    </row>
    <row r="35" spans="1:15" x14ac:dyDescent="0.25">
      <c r="B35" s="11" t="s">
        <v>185</v>
      </c>
      <c r="C35" s="90">
        <f t="shared" ref="C35:O35" si="9">IF(C12=1,1,C12*0.9)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190</v>
      </c>
      <c r="C36" s="90">
        <f t="shared" ref="C36:O36" si="10">IF(C13=1,1,C13*0.9)</f>
        <v>1</v>
      </c>
      <c r="D36" s="90">
        <f t="shared" si="10"/>
        <v>1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1</v>
      </c>
      <c r="I36" s="90">
        <f t="shared" si="10"/>
        <v>1</v>
      </c>
      <c r="J36" s="90">
        <f t="shared" si="10"/>
        <v>1</v>
      </c>
      <c r="K36" s="90">
        <f t="shared" si="10"/>
        <v>1</v>
      </c>
      <c r="L36" s="90">
        <f t="shared" si="10"/>
        <v>1</v>
      </c>
      <c r="M36" s="90">
        <f t="shared" si="10"/>
        <v>1</v>
      </c>
      <c r="N36" s="90">
        <f t="shared" si="10"/>
        <v>1</v>
      </c>
      <c r="O36" s="90">
        <f t="shared" si="10"/>
        <v>1</v>
      </c>
    </row>
    <row r="37" spans="1:15" x14ac:dyDescent="0.25">
      <c r="B37" s="11" t="s">
        <v>191</v>
      </c>
      <c r="C37" s="90">
        <f t="shared" ref="C37:O37" si="11">IF(C14=1,1,C14*0.9)</f>
        <v>1</v>
      </c>
      <c r="D37" s="90">
        <f t="shared" si="11"/>
        <v>1</v>
      </c>
      <c r="E37" s="90">
        <f t="shared" si="11"/>
        <v>1</v>
      </c>
      <c r="F37" s="90">
        <f t="shared" si="11"/>
        <v>1</v>
      </c>
      <c r="G37" s="90">
        <f t="shared" si="11"/>
        <v>1</v>
      </c>
      <c r="H37" s="90">
        <f t="shared" si="11"/>
        <v>1</v>
      </c>
      <c r="I37" s="90">
        <f t="shared" si="11"/>
        <v>1</v>
      </c>
      <c r="J37" s="90">
        <f t="shared" si="11"/>
        <v>1</v>
      </c>
      <c r="K37" s="90">
        <f t="shared" si="11"/>
        <v>1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204</v>
      </c>
      <c r="C38" s="90">
        <f t="shared" ref="C38:O38" si="12">IF(C15=1,1,C15*0.9)</f>
        <v>1</v>
      </c>
      <c r="D38" s="90">
        <f t="shared" si="12"/>
        <v>1</v>
      </c>
      <c r="E38" s="90">
        <f t="shared" si="12"/>
        <v>0.75600000000000001</v>
      </c>
      <c r="F38" s="90">
        <f t="shared" si="12"/>
        <v>0.75600000000000001</v>
      </c>
      <c r="G38" s="90">
        <f t="shared" si="12"/>
        <v>1</v>
      </c>
      <c r="H38" s="90">
        <f t="shared" si="12"/>
        <v>1</v>
      </c>
      <c r="I38" s="90">
        <f t="shared" si="12"/>
        <v>1</v>
      </c>
      <c r="J38" s="90">
        <f t="shared" si="12"/>
        <v>1</v>
      </c>
      <c r="K38" s="90">
        <f t="shared" si="12"/>
        <v>1</v>
      </c>
      <c r="L38" s="90">
        <f t="shared" si="12"/>
        <v>1</v>
      </c>
      <c r="M38" s="90">
        <f t="shared" si="12"/>
        <v>1</v>
      </c>
      <c r="N38" s="90">
        <f t="shared" si="12"/>
        <v>1</v>
      </c>
      <c r="O38" s="90">
        <f t="shared" si="12"/>
        <v>1</v>
      </c>
    </row>
    <row r="40" spans="1:15" ht="13" customHeight="1" x14ac:dyDescent="0.3">
      <c r="A40" s="4" t="s">
        <v>324</v>
      </c>
      <c r="B40" s="11"/>
    </row>
    <row r="41" spans="1:15" x14ac:dyDescent="0.25">
      <c r="B41" s="5" t="s">
        <v>171</v>
      </c>
      <c r="C41" s="90">
        <f t="shared" ref="C41:O41" si="13">IF(C18=1,1,C18*0.9)</f>
        <v>1</v>
      </c>
      <c r="D41" s="90">
        <f t="shared" si="13"/>
        <v>1</v>
      </c>
      <c r="E41" s="90">
        <f t="shared" si="13"/>
        <v>1</v>
      </c>
      <c r="F41" s="90">
        <f t="shared" si="13"/>
        <v>1</v>
      </c>
      <c r="G41" s="90">
        <f t="shared" si="13"/>
        <v>1</v>
      </c>
      <c r="H41" s="90">
        <f t="shared" si="13"/>
        <v>1</v>
      </c>
      <c r="I41" s="90">
        <f t="shared" si="13"/>
        <v>1</v>
      </c>
      <c r="J41" s="90">
        <f t="shared" si="13"/>
        <v>1</v>
      </c>
      <c r="K41" s="90">
        <f t="shared" si="13"/>
        <v>1</v>
      </c>
      <c r="L41" s="90">
        <f t="shared" si="13"/>
        <v>1</v>
      </c>
      <c r="M41" s="90">
        <f t="shared" si="13"/>
        <v>1</v>
      </c>
      <c r="N41" s="90">
        <f t="shared" si="13"/>
        <v>1</v>
      </c>
      <c r="O41" s="90">
        <f t="shared" si="13"/>
        <v>1</v>
      </c>
    </row>
    <row r="42" spans="1:15" x14ac:dyDescent="0.25">
      <c r="B42" s="5" t="s">
        <v>172</v>
      </c>
      <c r="C42" s="90">
        <f t="shared" ref="C42:D44" si="14">IF(C19=1,1,C19*0.9)</f>
        <v>1</v>
      </c>
      <c r="D42" s="90">
        <f t="shared" si="14"/>
        <v>1</v>
      </c>
      <c r="E42" s="90">
        <f>IF(ISBLANK('Distribución estado nutricional'!E$14),0.54,(0.54*'Distribución estado nutricional'!E$14/(1-0.54*'Distribución estado nutricional'!E$14))
/ ('Distribución estado nutricional'!E$14/(1-'Distribución estado nutricional'!E$14)))</f>
        <v>0.1711484609826992</v>
      </c>
      <c r="F42" s="90">
        <f>IF(ISBLANK('Distribución estado nutricional'!F$14),0.54,(0.54*'Distribución estado nutricional'!F$14/(1-0.54*'Distribución estado nutricional'!F$14))
/ ('Distribución estado nutricional'!F$14/(1-'Distribución estado nutricional'!F$14)))</f>
        <v>0.26792240291374703</v>
      </c>
      <c r="G42" s="90">
        <f>IF(ISBLANK('Distribución estado nutricional'!G$14),0.54,(0.54*'Distribución estado nutricional'!G$14/(1-0.54*'Distribución estado nutricional'!G$14))
/ ('Distribución estado nutricional'!G$14/(1-'Distribución estado nutricional'!G$14)))</f>
        <v>0.26792240291374703</v>
      </c>
      <c r="H42" s="90">
        <f>IF(ISBLANK('Distribución estado nutricional'!H$14),0.54,(0.54*'Distribución estado nutricional'!H$14/(1-0.54*'Distribución estado nutricional'!H$14))
/ ('Distribución estado nutricional'!H$14/(1-'Distribución estado nutricional'!H$14)))</f>
        <v>0.33127871140315174</v>
      </c>
      <c r="I42" s="90">
        <f>IF(ISBLANK('Distribución estado nutricional'!I$14),0.54,(0.54*'Distribución estado nutricional'!I$14/(1-0.54*'Distribución estado nutricional'!I$14))
/ ('Distribución estado nutricional'!I$14/(1-'Distribución estado nutricional'!I$14)))</f>
        <v>0.33127871140315174</v>
      </c>
      <c r="J42" s="90">
        <f>IF(ISBLANK('Distribución estado nutricional'!J$14),0.54,(0.54*'Distribución estado nutricional'!J$14/(1-0.54*'Distribución estado nutricional'!J$14))
/ ('Distribución estado nutricional'!J$14/(1-'Distribución estado nutricional'!J$14)))</f>
        <v>0.33127871140315174</v>
      </c>
      <c r="K42" s="90">
        <f>IF(ISBLANK('Distribución estado nutricional'!K$14),0.54,(0.54*'Distribución estado nutricional'!K$14/(1-0.54*'Distribución estado nutricional'!K$14))
/ ('Distribución estado nutricional'!K$14/(1-'Distribución estado nutricional'!K$14)))</f>
        <v>0.33127871140315174</v>
      </c>
      <c r="L42" s="90">
        <f>IF(ISBLANK('Distribución estado nutricional'!L$14),0.54,(0.54*'Distribución estado nutricional'!L$14/(1-0.54*'Distribución estado nutricional'!L$14))
/ ('Distribución estado nutricional'!L$14/(1-'Distribución estado nutricional'!L$14)))</f>
        <v>0.37540734303714973</v>
      </c>
      <c r="M42" s="90">
        <f>IF(ISBLANK('Distribución estado nutricional'!M$14),0.54,(0.54*'Distribución estado nutricional'!M$14/(1-0.54*'Distribución estado nutricional'!M$14))
/ ('Distribución estado nutricional'!M$14/(1-'Distribución estado nutricional'!M$14)))</f>
        <v>0.37540734303714973</v>
      </c>
      <c r="N42" s="90">
        <f>IF(ISBLANK('Distribución estado nutricional'!N$14),0.54,(0.54*'Distribución estado nutricional'!N$14/(1-0.54*'Distribución estado nutricional'!N$14))
/ ('Distribución estado nutricional'!N$14/(1-'Distribución estado nutricional'!N$14)))</f>
        <v>0.37540734303714973</v>
      </c>
      <c r="O42" s="90">
        <f>IF(ISBLANK('Distribución estado nutricional'!O$14),0.54,(0.54*'Distribución estado nutricional'!O$14/(1-0.54*'Distribución estado nutricional'!O$14))
/ ('Distribución estado nutricional'!O$14/(1-'Distribución estado nutricional'!O$14)))</f>
        <v>0.37540734303714973</v>
      </c>
    </row>
    <row r="43" spans="1:15" x14ac:dyDescent="0.25">
      <c r="B43" s="5" t="s">
        <v>173</v>
      </c>
      <c r="C43" s="90">
        <f t="shared" si="14"/>
        <v>1</v>
      </c>
      <c r="D43" s="90">
        <f t="shared" si="14"/>
        <v>1</v>
      </c>
      <c r="E43" s="90">
        <f t="shared" ref="E43:O43" si="15">IF(E20=1,1,E20*0.9)</f>
        <v>1</v>
      </c>
      <c r="F43" s="90">
        <f t="shared" si="15"/>
        <v>1</v>
      </c>
      <c r="G43" s="90">
        <f t="shared" si="15"/>
        <v>1</v>
      </c>
      <c r="H43" s="90">
        <f t="shared" si="15"/>
        <v>1</v>
      </c>
      <c r="I43" s="90">
        <f t="shared" si="15"/>
        <v>1</v>
      </c>
      <c r="J43" s="90">
        <f t="shared" si="15"/>
        <v>1</v>
      </c>
      <c r="K43" s="90">
        <f t="shared" si="15"/>
        <v>1</v>
      </c>
      <c r="L43" s="90">
        <f t="shared" si="15"/>
        <v>1</v>
      </c>
      <c r="M43" s="90">
        <f t="shared" si="15"/>
        <v>1</v>
      </c>
      <c r="N43" s="90">
        <f t="shared" si="15"/>
        <v>1</v>
      </c>
      <c r="O43" s="90">
        <f t="shared" si="15"/>
        <v>1</v>
      </c>
    </row>
    <row r="44" spans="1:15" x14ac:dyDescent="0.25">
      <c r="B44" s="5" t="s">
        <v>181</v>
      </c>
      <c r="C44" s="90">
        <f t="shared" si="14"/>
        <v>1</v>
      </c>
      <c r="D44" s="90">
        <f t="shared" si="14"/>
        <v>1</v>
      </c>
      <c r="E44" s="90">
        <f>IF(ISBLANK('Distribución estado nutricional'!E$14),0.7,(0.7*'Distribución estado nutricional'!E$14/(1-0.7*'Distribución estado nutricional'!E$14))
/ ('Distribución estado nutricional'!E$14/(1-'Distribución estado nutricional'!E$14)))</f>
        <v>0.29099541720497069</v>
      </c>
      <c r="F44" s="90">
        <f>IF(ISBLANK('Distribución estado nutricional'!F$14),0.7,(0.7*'Distribución estado nutricional'!F$14/(1-0.7*'Distribución estado nutricional'!F$14))
/ ('Distribución estado nutricional'!F$14/(1-'Distribución estado nutricional'!F$14)))</f>
        <v>0.42110621825806754</v>
      </c>
      <c r="G44" s="90">
        <f>IF(ISBLANK('Distribución estado nutricional'!G$14),0.7,(0.7*'Distribución estado nutricional'!G$14/(1-0.7*'Distribución estado nutricional'!G$14))
/ ('Distribución estado nutricional'!G$14/(1-'Distribución estado nutricional'!G$14)))</f>
        <v>0.42110621825806754</v>
      </c>
      <c r="H44" s="90">
        <f>IF(ISBLANK('Distribución estado nutricional'!H$14),0.7,(0.7*'Distribución estado nutricional'!H$14/(1-0.7*'Distribución estado nutricional'!H$14))
/ ('Distribución estado nutricional'!H$14/(1-'Distribución estado nutricional'!H$14)))</f>
        <v>0.49613705072220354</v>
      </c>
      <c r="I44" s="90">
        <f>IF(ISBLANK('Distribución estado nutricional'!I$14),0.7,(0.7*'Distribución estado nutricional'!I$14/(1-0.7*'Distribución estado nutricional'!I$14))
/ ('Distribución estado nutricional'!I$14/(1-'Distribución estado nutricional'!I$14)))</f>
        <v>0.49613705072220354</v>
      </c>
      <c r="J44" s="90">
        <f>IF(ISBLANK('Distribución estado nutricional'!J$14),0.7,(0.7*'Distribución estado nutricional'!J$14/(1-0.7*'Distribución estado nutricional'!J$14))
/ ('Distribución estado nutricional'!J$14/(1-'Distribución estado nutricional'!J$14)))</f>
        <v>0.49613705072220354</v>
      </c>
      <c r="K44" s="90">
        <f>IF(ISBLANK('Distribución estado nutricional'!K$14),0.7,(0.7*'Distribución estado nutricional'!K$14/(1-0.7*'Distribución estado nutricional'!K$14))
/ ('Distribución estado nutricional'!K$14/(1-'Distribución estado nutricional'!K$14)))</f>
        <v>0.49613705072220354</v>
      </c>
      <c r="L44" s="90">
        <f>IF(ISBLANK('Distribución estado nutricional'!L$14),0.7,(0.7*'Distribución estado nutricional'!L$14/(1-0.7*'Distribución estado nutricional'!L$14))
/ ('Distribución estado nutricional'!L$14/(1-'Distribución estado nutricional'!L$14)))</f>
        <v>0.54434993924665842</v>
      </c>
      <c r="M44" s="90">
        <f>IF(ISBLANK('Distribución estado nutricional'!M$14),0.7,(0.7*'Distribución estado nutricional'!M$14/(1-0.7*'Distribución estado nutricional'!M$14))
/ ('Distribución estado nutricional'!M$14/(1-'Distribución estado nutricional'!M$14)))</f>
        <v>0.54434993924665842</v>
      </c>
      <c r="N44" s="90">
        <f>IF(ISBLANK('Distribución estado nutricional'!N$14),0.7,(0.7*'Distribución estado nutricional'!N$14/(1-0.7*'Distribución estado nutricional'!N$14))
/ ('Distribución estado nutricional'!N$14/(1-'Distribución estado nutricional'!N$14)))</f>
        <v>0.54434993924665842</v>
      </c>
      <c r="O44" s="90">
        <f>IF(ISBLANK('Distribución estado nutricional'!O$14),0.7,(0.7*'Distribución estado nutricional'!O$14/(1-0.7*'Distribución estado nutricional'!O$14))
/ ('Distribución estado nutricional'!O$14/(1-'Distribución estado nutricional'!O$14)))</f>
        <v>0.54434993924665842</v>
      </c>
    </row>
    <row r="46" spans="1:15" s="92" customFormat="1" ht="13" customHeight="1" x14ac:dyDescent="0.3">
      <c r="A46" s="92" t="s">
        <v>245</v>
      </c>
    </row>
    <row r="47" spans="1:15" ht="26" customHeight="1" x14ac:dyDescent="0.3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ht="13" customHeight="1" x14ac:dyDescent="0.3">
      <c r="A48" s="4" t="s">
        <v>328</v>
      </c>
    </row>
    <row r="49" spans="1:15" x14ac:dyDescent="0.25">
      <c r="B49" s="11" t="s">
        <v>169</v>
      </c>
      <c r="C49" s="90">
        <f t="shared" ref="C49:O49" si="16">IF(C3=1,1,C3*1.05)</f>
        <v>0.55650000000000011</v>
      </c>
      <c r="D49" s="90">
        <f t="shared" si="16"/>
        <v>0.55650000000000011</v>
      </c>
      <c r="E49" s="90">
        <f t="shared" si="16"/>
        <v>1</v>
      </c>
      <c r="F49" s="90">
        <f t="shared" si="16"/>
        <v>1</v>
      </c>
      <c r="G49" s="90">
        <f t="shared" si="16"/>
        <v>1</v>
      </c>
      <c r="H49" s="90">
        <f t="shared" si="16"/>
        <v>1</v>
      </c>
      <c r="I49" s="90">
        <f t="shared" si="16"/>
        <v>1</v>
      </c>
      <c r="J49" s="90">
        <f t="shared" si="16"/>
        <v>1</v>
      </c>
      <c r="K49" s="90">
        <f t="shared" si="16"/>
        <v>1</v>
      </c>
      <c r="L49" s="90">
        <f t="shared" si="16"/>
        <v>1</v>
      </c>
      <c r="M49" s="90">
        <f t="shared" si="16"/>
        <v>1</v>
      </c>
      <c r="N49" s="90">
        <f t="shared" si="16"/>
        <v>1</v>
      </c>
      <c r="O49" s="90">
        <f t="shared" si="16"/>
        <v>1</v>
      </c>
    </row>
    <row r="50" spans="1:15" x14ac:dyDescent="0.25">
      <c r="B50" s="11" t="s">
        <v>174</v>
      </c>
      <c r="C50" s="90">
        <f t="shared" ref="C50:O50" si="17">IF(C4=1,1,C4*1.05)</f>
        <v>1</v>
      </c>
      <c r="D50" s="90">
        <f t="shared" si="17"/>
        <v>1</v>
      </c>
      <c r="E50" s="90">
        <f t="shared" si="17"/>
        <v>1</v>
      </c>
      <c r="F50" s="90">
        <f t="shared" si="17"/>
        <v>1</v>
      </c>
      <c r="G50" s="90">
        <f t="shared" si="17"/>
        <v>1</v>
      </c>
      <c r="H50" s="90">
        <f t="shared" si="17"/>
        <v>0.76649999999999996</v>
      </c>
      <c r="I50" s="90">
        <f t="shared" si="17"/>
        <v>0.76649999999999996</v>
      </c>
      <c r="J50" s="90">
        <f t="shared" si="17"/>
        <v>0.76649999999999996</v>
      </c>
      <c r="K50" s="90">
        <f t="shared" si="17"/>
        <v>0.76649999999999996</v>
      </c>
      <c r="L50" s="90">
        <f t="shared" si="17"/>
        <v>1</v>
      </c>
      <c r="M50" s="90">
        <f t="shared" si="17"/>
        <v>1</v>
      </c>
      <c r="N50" s="90">
        <f t="shared" si="17"/>
        <v>1</v>
      </c>
      <c r="O50" s="90">
        <f t="shared" si="17"/>
        <v>1</v>
      </c>
    </row>
    <row r="51" spans="1:15" x14ac:dyDescent="0.25">
      <c r="B51" s="11" t="s">
        <v>175</v>
      </c>
      <c r="C51" s="90">
        <f t="shared" ref="C51:O51" si="18">IF(C5=1,1,C5*1.05)</f>
        <v>1</v>
      </c>
      <c r="D51" s="90">
        <f t="shared" si="18"/>
        <v>1</v>
      </c>
      <c r="E51" s="90">
        <f t="shared" si="18"/>
        <v>1</v>
      </c>
      <c r="F51" s="90">
        <f t="shared" si="18"/>
        <v>1</v>
      </c>
      <c r="G51" s="90">
        <f t="shared" si="18"/>
        <v>1</v>
      </c>
      <c r="H51" s="90">
        <f t="shared" si="18"/>
        <v>0.76649999999999996</v>
      </c>
      <c r="I51" s="90">
        <f t="shared" si="18"/>
        <v>0.76649999999999996</v>
      </c>
      <c r="J51" s="90">
        <f t="shared" si="18"/>
        <v>0.76649999999999996</v>
      </c>
      <c r="K51" s="90">
        <f t="shared" si="18"/>
        <v>0.76649999999999996</v>
      </c>
      <c r="L51" s="90">
        <f t="shared" si="18"/>
        <v>1</v>
      </c>
      <c r="M51" s="90">
        <f t="shared" si="18"/>
        <v>1</v>
      </c>
      <c r="N51" s="90">
        <f t="shared" si="18"/>
        <v>1</v>
      </c>
      <c r="O51" s="90">
        <f t="shared" si="18"/>
        <v>1</v>
      </c>
    </row>
    <row r="52" spans="1:15" x14ac:dyDescent="0.25">
      <c r="B52" s="11" t="s">
        <v>176</v>
      </c>
      <c r="C52" s="90">
        <f t="shared" ref="C52:O52" si="19">IF(C6=1,1,C6*1.05)</f>
        <v>1</v>
      </c>
      <c r="D52" s="90">
        <f t="shared" si="19"/>
        <v>1</v>
      </c>
      <c r="E52" s="90">
        <f t="shared" si="19"/>
        <v>1</v>
      </c>
      <c r="F52" s="90">
        <f t="shared" si="19"/>
        <v>1</v>
      </c>
      <c r="G52" s="90">
        <f t="shared" si="19"/>
        <v>1</v>
      </c>
      <c r="H52" s="90">
        <f t="shared" si="19"/>
        <v>0.76649999999999996</v>
      </c>
      <c r="I52" s="90">
        <f t="shared" si="19"/>
        <v>0.76649999999999996</v>
      </c>
      <c r="J52" s="90">
        <f t="shared" si="19"/>
        <v>0.76649999999999996</v>
      </c>
      <c r="K52" s="90">
        <f t="shared" si="19"/>
        <v>0.76649999999999996</v>
      </c>
      <c r="L52" s="90">
        <f t="shared" si="19"/>
        <v>1</v>
      </c>
      <c r="M52" s="90">
        <f t="shared" si="19"/>
        <v>1</v>
      </c>
      <c r="N52" s="90">
        <f t="shared" si="19"/>
        <v>1</v>
      </c>
      <c r="O52" s="90">
        <f t="shared" si="19"/>
        <v>1</v>
      </c>
    </row>
    <row r="53" spans="1:15" x14ac:dyDescent="0.25">
      <c r="B53" s="11" t="s">
        <v>177</v>
      </c>
      <c r="C53" s="90">
        <f t="shared" ref="C53:O53" si="20">IF(C7=1,1,C7*1.05)</f>
        <v>1</v>
      </c>
      <c r="D53" s="90">
        <f t="shared" si="20"/>
        <v>1</v>
      </c>
      <c r="E53" s="90">
        <f t="shared" si="20"/>
        <v>1</v>
      </c>
      <c r="F53" s="90">
        <f t="shared" si="20"/>
        <v>1</v>
      </c>
      <c r="G53" s="90">
        <f t="shared" si="20"/>
        <v>1</v>
      </c>
      <c r="H53" s="90">
        <f t="shared" si="20"/>
        <v>0.76649999999999996</v>
      </c>
      <c r="I53" s="90">
        <f t="shared" si="20"/>
        <v>0.76649999999999996</v>
      </c>
      <c r="J53" s="90">
        <f t="shared" si="20"/>
        <v>0.76649999999999996</v>
      </c>
      <c r="K53" s="90">
        <f t="shared" si="20"/>
        <v>0.76649999999999996</v>
      </c>
      <c r="L53" s="90">
        <f t="shared" si="20"/>
        <v>1</v>
      </c>
      <c r="M53" s="90">
        <f t="shared" si="20"/>
        <v>1</v>
      </c>
      <c r="N53" s="90">
        <f t="shared" si="20"/>
        <v>1</v>
      </c>
      <c r="O53" s="90">
        <f t="shared" si="20"/>
        <v>1</v>
      </c>
    </row>
    <row r="54" spans="1:15" x14ac:dyDescent="0.25">
      <c r="B54" s="5" t="s">
        <v>178</v>
      </c>
      <c r="C54" s="90">
        <f t="shared" ref="C54:O54" si="21">IF(C8=1,1,C8*1.05)</f>
        <v>1</v>
      </c>
      <c r="D54" s="90">
        <f t="shared" si="21"/>
        <v>1</v>
      </c>
      <c r="E54" s="90">
        <f t="shared" si="21"/>
        <v>1</v>
      </c>
      <c r="F54" s="90">
        <f t="shared" si="21"/>
        <v>1</v>
      </c>
      <c r="G54" s="90">
        <f t="shared" si="21"/>
        <v>1</v>
      </c>
      <c r="H54" s="90">
        <f t="shared" si="21"/>
        <v>1</v>
      </c>
      <c r="I54" s="90">
        <f t="shared" si="21"/>
        <v>1</v>
      </c>
      <c r="J54" s="90">
        <f t="shared" si="21"/>
        <v>1</v>
      </c>
      <c r="K54" s="90">
        <f t="shared" si="21"/>
        <v>1</v>
      </c>
      <c r="L54" s="90">
        <f t="shared" si="21"/>
        <v>0.51449999999999996</v>
      </c>
      <c r="M54" s="90">
        <f t="shared" si="21"/>
        <v>0.51449999999999996</v>
      </c>
      <c r="N54" s="90">
        <f t="shared" si="21"/>
        <v>0.51449999999999996</v>
      </c>
      <c r="O54" s="90">
        <f t="shared" si="21"/>
        <v>0.51449999999999996</v>
      </c>
    </row>
    <row r="55" spans="1:15" x14ac:dyDescent="0.25">
      <c r="B55" s="5" t="s">
        <v>179</v>
      </c>
      <c r="C55" s="90">
        <f t="shared" ref="C55:O55" si="22">IF(C9=1,1,C9*1.05)</f>
        <v>1</v>
      </c>
      <c r="D55" s="90">
        <f t="shared" si="22"/>
        <v>1</v>
      </c>
      <c r="E55" s="90">
        <f t="shared" si="22"/>
        <v>1</v>
      </c>
      <c r="F55" s="90">
        <f t="shared" si="22"/>
        <v>1</v>
      </c>
      <c r="G55" s="90">
        <f t="shared" si="22"/>
        <v>1</v>
      </c>
      <c r="H55" s="90">
        <f t="shared" si="22"/>
        <v>1</v>
      </c>
      <c r="I55" s="90">
        <f t="shared" si="22"/>
        <v>1</v>
      </c>
      <c r="J55" s="90">
        <f t="shared" si="22"/>
        <v>1</v>
      </c>
      <c r="K55" s="90">
        <f t="shared" si="22"/>
        <v>1</v>
      </c>
      <c r="L55" s="90">
        <f t="shared" si="22"/>
        <v>0.51449999999999996</v>
      </c>
      <c r="M55" s="90">
        <f t="shared" si="22"/>
        <v>0.51449999999999996</v>
      </c>
      <c r="N55" s="90">
        <f t="shared" si="22"/>
        <v>0.51449999999999996</v>
      </c>
      <c r="O55" s="90">
        <f t="shared" si="22"/>
        <v>0.51449999999999996</v>
      </c>
    </row>
    <row r="56" spans="1:15" x14ac:dyDescent="0.25">
      <c r="B56" s="11" t="s">
        <v>180</v>
      </c>
      <c r="C56" s="90">
        <f t="shared" ref="C56:O56" si="23">IF(C10=1,1,C10*1.05)</f>
        <v>1</v>
      </c>
      <c r="D56" s="90">
        <f t="shared" si="23"/>
        <v>1</v>
      </c>
      <c r="E56" s="90">
        <f t="shared" si="23"/>
        <v>1</v>
      </c>
      <c r="F56" s="90">
        <f t="shared" si="23"/>
        <v>1</v>
      </c>
      <c r="G56" s="90">
        <f t="shared" si="23"/>
        <v>1</v>
      </c>
      <c r="H56" s="90">
        <f t="shared" si="23"/>
        <v>1</v>
      </c>
      <c r="I56" s="90">
        <f t="shared" si="23"/>
        <v>1</v>
      </c>
      <c r="J56" s="90">
        <f t="shared" si="23"/>
        <v>1</v>
      </c>
      <c r="K56" s="90">
        <f t="shared" si="23"/>
        <v>1</v>
      </c>
      <c r="L56" s="90">
        <f t="shared" si="23"/>
        <v>0.87149999999999994</v>
      </c>
      <c r="M56" s="90">
        <f t="shared" si="23"/>
        <v>0.87149999999999994</v>
      </c>
      <c r="N56" s="90">
        <f t="shared" si="23"/>
        <v>0.87149999999999994</v>
      </c>
      <c r="O56" s="90">
        <f t="shared" si="23"/>
        <v>0.87149999999999994</v>
      </c>
    </row>
    <row r="57" spans="1:15" x14ac:dyDescent="0.25">
      <c r="B57" s="5" t="s">
        <v>184</v>
      </c>
      <c r="C57" s="90">
        <f t="shared" ref="C57:O57" si="24">IF(C11=1,1,C11*1.05)</f>
        <v>1</v>
      </c>
      <c r="D57" s="90">
        <f t="shared" si="24"/>
        <v>1</v>
      </c>
      <c r="E57" s="90">
        <f t="shared" si="24"/>
        <v>0.72449999999999992</v>
      </c>
      <c r="F57" s="90">
        <f t="shared" si="24"/>
        <v>0.72449999999999992</v>
      </c>
      <c r="G57" s="90">
        <f t="shared" si="24"/>
        <v>1</v>
      </c>
      <c r="H57" s="90">
        <f t="shared" si="24"/>
        <v>1</v>
      </c>
      <c r="I57" s="90">
        <f t="shared" si="24"/>
        <v>1</v>
      </c>
      <c r="J57" s="90">
        <f t="shared" si="24"/>
        <v>1</v>
      </c>
      <c r="K57" s="90">
        <f t="shared" si="24"/>
        <v>1</v>
      </c>
      <c r="L57" s="90">
        <f t="shared" si="24"/>
        <v>1</v>
      </c>
      <c r="M57" s="90">
        <f t="shared" si="24"/>
        <v>1</v>
      </c>
      <c r="N57" s="90">
        <f t="shared" si="24"/>
        <v>1</v>
      </c>
      <c r="O57" s="90">
        <f t="shared" si="24"/>
        <v>1</v>
      </c>
    </row>
    <row r="58" spans="1:15" x14ac:dyDescent="0.25">
      <c r="B58" s="11" t="s">
        <v>185</v>
      </c>
      <c r="C58" s="90">
        <f t="shared" ref="C58:O58" si="25">IF(C12=1,1,C12*1.05)</f>
        <v>0.87149999999999994</v>
      </c>
      <c r="D58" s="90">
        <f t="shared" si="25"/>
        <v>0.87149999999999994</v>
      </c>
      <c r="E58" s="90">
        <f t="shared" si="25"/>
        <v>0.87149999999999994</v>
      </c>
      <c r="F58" s="90">
        <f t="shared" si="25"/>
        <v>0.87149999999999994</v>
      </c>
      <c r="G58" s="90">
        <f t="shared" si="25"/>
        <v>0.87149999999999994</v>
      </c>
      <c r="H58" s="90">
        <f t="shared" si="25"/>
        <v>0.87149999999999994</v>
      </c>
      <c r="I58" s="90">
        <f t="shared" si="25"/>
        <v>0.87149999999999994</v>
      </c>
      <c r="J58" s="90">
        <f t="shared" si="25"/>
        <v>0.87149999999999994</v>
      </c>
      <c r="K58" s="90">
        <f t="shared" si="25"/>
        <v>0.87149999999999994</v>
      </c>
      <c r="L58" s="90">
        <f t="shared" si="25"/>
        <v>0.87149999999999994</v>
      </c>
      <c r="M58" s="90">
        <f t="shared" si="25"/>
        <v>0.87149999999999994</v>
      </c>
      <c r="N58" s="90">
        <f t="shared" si="25"/>
        <v>0.87149999999999994</v>
      </c>
      <c r="O58" s="90">
        <f t="shared" si="25"/>
        <v>0.87149999999999994</v>
      </c>
    </row>
    <row r="59" spans="1:15" x14ac:dyDescent="0.25">
      <c r="B59" s="11" t="s">
        <v>190</v>
      </c>
      <c r="C59" s="90">
        <f t="shared" ref="C59:O59" si="26">IF(C13=1,1,C13*1.05)</f>
        <v>1</v>
      </c>
      <c r="D59" s="90">
        <f t="shared" si="26"/>
        <v>1</v>
      </c>
      <c r="E59" s="90">
        <f t="shared" si="26"/>
        <v>0.72449999999999992</v>
      </c>
      <c r="F59" s="90">
        <f t="shared" si="26"/>
        <v>0.72449999999999992</v>
      </c>
      <c r="G59" s="90">
        <f t="shared" si="26"/>
        <v>0.72449999999999992</v>
      </c>
      <c r="H59" s="90">
        <f t="shared" si="26"/>
        <v>1</v>
      </c>
      <c r="I59" s="90">
        <f t="shared" si="26"/>
        <v>1</v>
      </c>
      <c r="J59" s="90">
        <f t="shared" si="26"/>
        <v>1</v>
      </c>
      <c r="K59" s="90">
        <f t="shared" si="26"/>
        <v>1</v>
      </c>
      <c r="L59" s="90">
        <f t="shared" si="26"/>
        <v>1</v>
      </c>
      <c r="M59" s="90">
        <f t="shared" si="26"/>
        <v>1</v>
      </c>
      <c r="N59" s="90">
        <f t="shared" si="26"/>
        <v>1</v>
      </c>
      <c r="O59" s="90">
        <f t="shared" si="26"/>
        <v>1</v>
      </c>
    </row>
    <row r="60" spans="1:15" x14ac:dyDescent="0.25">
      <c r="B60" s="11" t="s">
        <v>191</v>
      </c>
      <c r="C60" s="90">
        <f t="shared" ref="C60:O60" si="27">IF(C14=1,1,C14*1.05)</f>
        <v>1</v>
      </c>
      <c r="D60" s="90">
        <f t="shared" si="27"/>
        <v>1</v>
      </c>
      <c r="E60" s="90">
        <f t="shared" si="27"/>
        <v>1</v>
      </c>
      <c r="F60" s="90">
        <f t="shared" si="27"/>
        <v>1</v>
      </c>
      <c r="G60" s="90">
        <f t="shared" si="27"/>
        <v>1</v>
      </c>
      <c r="H60" s="90">
        <f t="shared" si="27"/>
        <v>1</v>
      </c>
      <c r="I60" s="90">
        <f t="shared" si="27"/>
        <v>1</v>
      </c>
      <c r="J60" s="90">
        <f t="shared" si="27"/>
        <v>1</v>
      </c>
      <c r="K60" s="90">
        <f t="shared" si="27"/>
        <v>1</v>
      </c>
      <c r="L60" s="90">
        <f t="shared" si="27"/>
        <v>0.34650000000000003</v>
      </c>
      <c r="M60" s="90">
        <f t="shared" si="27"/>
        <v>0.34650000000000003</v>
      </c>
      <c r="N60" s="90">
        <f t="shared" si="27"/>
        <v>0.34650000000000003</v>
      </c>
      <c r="O60" s="90">
        <f t="shared" si="27"/>
        <v>0.34650000000000003</v>
      </c>
    </row>
    <row r="61" spans="1:15" x14ac:dyDescent="0.25">
      <c r="B61" s="5" t="s">
        <v>204</v>
      </c>
      <c r="C61" s="90">
        <f t="shared" ref="C61:O61" si="28">IF(C15=1,1,C15*1.05)</f>
        <v>1</v>
      </c>
      <c r="D61" s="90">
        <f t="shared" si="28"/>
        <v>1</v>
      </c>
      <c r="E61" s="90">
        <f t="shared" si="28"/>
        <v>0.88200000000000001</v>
      </c>
      <c r="F61" s="90">
        <f t="shared" si="28"/>
        <v>0.88200000000000001</v>
      </c>
      <c r="G61" s="90">
        <f t="shared" si="28"/>
        <v>1</v>
      </c>
      <c r="H61" s="90">
        <f t="shared" si="28"/>
        <v>1</v>
      </c>
      <c r="I61" s="90">
        <f t="shared" si="28"/>
        <v>1</v>
      </c>
      <c r="J61" s="90">
        <f t="shared" si="28"/>
        <v>1</v>
      </c>
      <c r="K61" s="90">
        <f t="shared" si="28"/>
        <v>1</v>
      </c>
      <c r="L61" s="90">
        <f t="shared" si="28"/>
        <v>1</v>
      </c>
      <c r="M61" s="90">
        <f t="shared" si="28"/>
        <v>1</v>
      </c>
      <c r="N61" s="90">
        <f t="shared" si="28"/>
        <v>1</v>
      </c>
      <c r="O61" s="90">
        <f t="shared" si="28"/>
        <v>1</v>
      </c>
    </row>
    <row r="63" spans="1:15" ht="13" customHeight="1" x14ac:dyDescent="0.3">
      <c r="A63" s="4" t="s">
        <v>325</v>
      </c>
      <c r="B63" s="11"/>
    </row>
    <row r="64" spans="1:15" x14ac:dyDescent="0.25">
      <c r="B64" s="5" t="s">
        <v>171</v>
      </c>
      <c r="C64" s="90">
        <f t="shared" ref="C64:O64" si="29">IF(C18=1,1,C18*1.05)</f>
        <v>1</v>
      </c>
      <c r="D64" s="90">
        <f t="shared" si="29"/>
        <v>1</v>
      </c>
      <c r="E64" s="90">
        <f t="shared" si="29"/>
        <v>1</v>
      </c>
      <c r="F64" s="90">
        <f t="shared" si="29"/>
        <v>1</v>
      </c>
      <c r="G64" s="90">
        <f t="shared" si="29"/>
        <v>1</v>
      </c>
      <c r="H64" s="90">
        <f t="shared" si="29"/>
        <v>1</v>
      </c>
      <c r="I64" s="90">
        <f t="shared" si="29"/>
        <v>1</v>
      </c>
      <c r="J64" s="90">
        <f t="shared" si="29"/>
        <v>1</v>
      </c>
      <c r="K64" s="90">
        <f t="shared" si="29"/>
        <v>1</v>
      </c>
      <c r="L64" s="90">
        <f t="shared" si="29"/>
        <v>1</v>
      </c>
      <c r="M64" s="90">
        <f t="shared" si="29"/>
        <v>1</v>
      </c>
      <c r="N64" s="90">
        <f t="shared" si="29"/>
        <v>1</v>
      </c>
      <c r="O64" s="90">
        <f t="shared" si="29"/>
        <v>1</v>
      </c>
    </row>
    <row r="65" spans="2:15" x14ac:dyDescent="0.25">
      <c r="B65" s="5" t="s">
        <v>172</v>
      </c>
      <c r="C65" s="90">
        <f t="shared" ref="C65:D67" si="30">IF(C19=1,1,C19*1.05)</f>
        <v>1</v>
      </c>
      <c r="D65" s="90">
        <f t="shared" si="30"/>
        <v>1</v>
      </c>
      <c r="E65" s="90">
        <f>IF(ISBLANK('Distribución estado nutricional'!E$14),0.97,(0.97*'Distribución estado nutricional'!E$14/(1-0.97*'Distribución estado nutricional'!E$14))
/ ('Distribución estado nutricional'!E$14/(1-'Distribución estado nutricional'!E$14)))</f>
        <v>0.85046418331289597</v>
      </c>
      <c r="F65" s="90">
        <f>IF(ISBLANK('Distribución estado nutricional'!F$14),0.97,(0.97*'Distribución estado nutricional'!F$14/(1-0.97*'Distribución estado nutricional'!F$14))
/ ('Distribución estado nutricional'!F$14/(1-'Distribución estado nutricional'!F$14)))</f>
        <v>0.90974841391779926</v>
      </c>
      <c r="G65" s="90">
        <f>IF(ISBLANK('Distribución estado nutricional'!G$14),0.97,(0.97*'Distribución estado nutricional'!G$14/(1-0.97*'Distribución estado nutricional'!G$14))
/ ('Distribución estado nutricional'!G$14/(1-'Distribución estado nutricional'!G$14)))</f>
        <v>0.90974841391779926</v>
      </c>
      <c r="H65" s="90">
        <f>IF(ISBLANK('Distribución estado nutricional'!H$14),0.97,(0.97*'Distribución estado nutricional'!H$14/(1-0.97*'Distribución estado nutricional'!H$14))
/ ('Distribución estado nutricional'!H$14/(1-'Distribución estado nutricional'!H$14)))</f>
        <v>0.93171575545135865</v>
      </c>
      <c r="I65" s="90">
        <f>IF(ISBLANK('Distribución estado nutricional'!I$14),0.97,(0.97*'Distribución estado nutricional'!I$14/(1-0.97*'Distribución estado nutricional'!I$14))
/ ('Distribución estado nutricional'!I$14/(1-'Distribución estado nutricional'!I$14)))</f>
        <v>0.93171575545135865</v>
      </c>
      <c r="J65" s="90">
        <f>IF(ISBLANK('Distribución estado nutricional'!J$14),0.97,(0.97*'Distribución estado nutricional'!J$14/(1-0.97*'Distribución estado nutricional'!J$14))
/ ('Distribución estado nutricional'!J$14/(1-'Distribución estado nutricional'!J$14)))</f>
        <v>0.93171575545135865</v>
      </c>
      <c r="K65" s="90">
        <f>IF(ISBLANK('Distribución estado nutricional'!K$14),0.97,(0.97*'Distribución estado nutricional'!K$14/(1-0.97*'Distribución estado nutricional'!K$14))
/ ('Distribución estado nutricional'!K$14/(1-'Distribución estado nutricional'!K$14)))</f>
        <v>0.93171575545135865</v>
      </c>
      <c r="L65" s="90">
        <f>IF(ISBLANK('Distribución estado nutricional'!L$14),0.97,(0.97*'Distribución estado nutricional'!L$14/(1-0.97*'Distribución estado nutricional'!L$14))
/ ('Distribución estado nutricional'!L$14/(1-'Distribución estado nutricional'!L$14)))</f>
        <v>0.9430350903843232</v>
      </c>
      <c r="M65" s="90">
        <f>IF(ISBLANK('Distribución estado nutricional'!M$14),0.97,(0.97*'Distribución estado nutricional'!M$14/(1-0.97*'Distribución estado nutricional'!M$14))
/ ('Distribución estado nutricional'!M$14/(1-'Distribución estado nutricional'!M$14)))</f>
        <v>0.9430350903843232</v>
      </c>
      <c r="N65" s="90">
        <f>IF(ISBLANK('Distribución estado nutricional'!N$14),0.97,(0.97*'Distribución estado nutricional'!N$14/(1-0.97*'Distribución estado nutricional'!N$14))
/ ('Distribución estado nutricional'!N$14/(1-'Distribución estado nutricional'!N$14)))</f>
        <v>0.9430350903843232</v>
      </c>
      <c r="O65" s="90">
        <f>IF(ISBLANK('Distribución estado nutricional'!O$14),0.97,(0.97*'Distribución estado nutricional'!O$14/(1-0.97*'Distribución estado nutricional'!O$14))
/ ('Distribución estado nutricional'!O$14/(1-'Distribución estado nutricional'!O$14)))</f>
        <v>0.9430350903843232</v>
      </c>
    </row>
    <row r="66" spans="2:15" x14ac:dyDescent="0.25">
      <c r="B66" s="5" t="s">
        <v>173</v>
      </c>
      <c r="C66" s="90">
        <f t="shared" si="30"/>
        <v>1</v>
      </c>
      <c r="D66" s="90">
        <f t="shared" si="30"/>
        <v>1</v>
      </c>
      <c r="E66" s="90">
        <f t="shared" ref="E66:O66" si="31">IF(E20=1,1,E20*1.05)</f>
        <v>1</v>
      </c>
      <c r="F66" s="90">
        <f t="shared" si="31"/>
        <v>1</v>
      </c>
      <c r="G66" s="90">
        <f t="shared" si="31"/>
        <v>1</v>
      </c>
      <c r="H66" s="90">
        <f t="shared" si="31"/>
        <v>1</v>
      </c>
      <c r="I66" s="90">
        <f t="shared" si="31"/>
        <v>1</v>
      </c>
      <c r="J66" s="90">
        <f t="shared" si="31"/>
        <v>1</v>
      </c>
      <c r="K66" s="90">
        <f t="shared" si="31"/>
        <v>1</v>
      </c>
      <c r="L66" s="90">
        <f t="shared" si="31"/>
        <v>1</v>
      </c>
      <c r="M66" s="90">
        <f t="shared" si="31"/>
        <v>1</v>
      </c>
      <c r="N66" s="90">
        <f t="shared" si="31"/>
        <v>1</v>
      </c>
      <c r="O66" s="90">
        <f t="shared" si="31"/>
        <v>1</v>
      </c>
    </row>
    <row r="67" spans="2:15" x14ac:dyDescent="0.25">
      <c r="B67" s="5" t="s">
        <v>181</v>
      </c>
      <c r="C67" s="90">
        <f t="shared" si="30"/>
        <v>1</v>
      </c>
      <c r="D67" s="90">
        <f t="shared" si="30"/>
        <v>1</v>
      </c>
      <c r="E67" s="90">
        <f>IF(ISBLANK('Distribución estado nutricional'!E$14),0.92,(0.92*'Distribución estado nutricional'!E$14/(1-0.92*'Distribución estado nutricional'!E$14))
/ ('Distribución estado nutricional'!E$14/(1-'Distribución estado nutricional'!E$14)))</f>
        <v>0.66918355131980933</v>
      </c>
      <c r="F67" s="90">
        <f>IF(ISBLANK('Distribución estado nutricional'!F$14),0.92,(0.92*'Distribución estado nutricional'!F$14/(1-0.92*'Distribución estado nutricional'!F$14))
/ ('Distribución estado nutricional'!F$14/(1-'Distribución estado nutricional'!F$14)))</f>
        <v>0.78190717682143929</v>
      </c>
      <c r="G67" s="90">
        <f>IF(ISBLANK('Distribución estado nutricional'!G$14),0.92,(0.92*'Distribución estado nutricional'!G$14/(1-0.92*'Distribución estado nutricional'!G$14))
/ ('Distribución estado nutricional'!G$14/(1-'Distribución estado nutricional'!G$14)))</f>
        <v>0.78190717682143929</v>
      </c>
      <c r="H67" s="90">
        <f>IF(ISBLANK('Distribución estado nutricional'!H$14),0.92,(0.92*'Distribución estado nutricional'!H$14/(1-0.92*'Distribución estado nutricional'!H$14))
/ ('Distribución estado nutricional'!H$14/(1-'Distribución estado nutricional'!H$14)))</f>
        <v>0.82914744575431409</v>
      </c>
      <c r="I67" s="90">
        <f>IF(ISBLANK('Distribución estado nutricional'!I$14),0.92,(0.92*'Distribución estado nutricional'!I$14/(1-0.92*'Distribución estado nutricional'!I$14))
/ ('Distribución estado nutricional'!I$14/(1-'Distribución estado nutricional'!I$14)))</f>
        <v>0.82914744575431409</v>
      </c>
      <c r="J67" s="90">
        <f>IF(ISBLANK('Distribución estado nutricional'!J$14),0.92,(0.92*'Distribución estado nutricional'!J$14/(1-0.92*'Distribución estado nutricional'!J$14))
/ ('Distribución estado nutricional'!J$14/(1-'Distribución estado nutricional'!J$14)))</f>
        <v>0.82914744575431409</v>
      </c>
      <c r="K67" s="90">
        <f>IF(ISBLANK('Distribución estado nutricional'!K$14),0.92,(0.92*'Distribución estado nutricional'!K$14/(1-0.92*'Distribución estado nutricional'!K$14))
/ ('Distribución estado nutricional'!K$14/(1-'Distribución estado nutricional'!K$14)))</f>
        <v>0.82914744575431409</v>
      </c>
      <c r="L67" s="90">
        <f>IF(ISBLANK('Distribución estado nutricional'!L$14),0.92,(0.92*'Distribución estado nutricional'!L$14/(1-0.92*'Distribución estado nutricional'!L$14))
/ ('Distribución estado nutricional'!L$14/(1-'Distribución estado nutricional'!L$14)))</f>
        <v>0.85481997677119637</v>
      </c>
      <c r="M67" s="90">
        <f>IF(ISBLANK('Distribución estado nutricional'!M$14),0.92,(0.92*'Distribución estado nutricional'!M$14/(1-0.92*'Distribución estado nutricional'!M$14))
/ ('Distribución estado nutricional'!M$14/(1-'Distribución estado nutricional'!M$14)))</f>
        <v>0.85481997677119637</v>
      </c>
      <c r="N67" s="90">
        <f>IF(ISBLANK('Distribución estado nutricional'!N$14),0.92,(0.92*'Distribución estado nutricional'!N$14/(1-0.92*'Distribución estado nutricional'!N$14))
/ ('Distribución estado nutricional'!N$14/(1-'Distribución estado nutricional'!N$14)))</f>
        <v>0.85481997677119637</v>
      </c>
      <c r="O67" s="90">
        <f>IF(ISBLANK('Distribución estado nutricional'!O$14),0.92,(0.92*'Distribución estado nutricional'!O$14/(1-0.92*'Distribución estado nutricional'!O$14))
/ ('Distribución estado nutricional'!O$14/(1-'Distribución estado nutricional'!O$14)))</f>
        <v>0.85481997677119637</v>
      </c>
    </row>
  </sheetData>
  <sheetProtection algorithmName="SHA-512" hashValue="q3zJqBGEIFPwerWF/g5fSIwljxYY8E7K7dwZSm4K2uC+r36q7ZpLF3B+WUkyeEqTbVPI+O1UHIGdlgAoY+LA4A==" saltValue="yl/xa8Cky71g157SKyRyx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ht="13" customHeight="1" x14ac:dyDescent="0.3">
      <c r="A2" s="4" t="s">
        <v>333</v>
      </c>
    </row>
    <row r="3" spans="1:7" x14ac:dyDescent="0.25">
      <c r="B3" s="11" t="s">
        <v>164</v>
      </c>
      <c r="C3" s="90">
        <v>1</v>
      </c>
      <c r="D3" s="90">
        <f>IF(ISBLANK('Distribución estado nutricional'!D$11),0.86,(0.86*'Distribución estado nutricional'!D$11/(1-0.86*'Distribución estado nutricional'!D$11))
/ ('Distribución estado nutricional'!D$11/(1-'Distribución estado nutricional'!D$11)))</f>
        <v>0.85709490005491484</v>
      </c>
      <c r="E3" s="90">
        <f>IF(ISBLANK('Distribución estado nutricional'!E$11),0.86,(0.86*'Distribución estado nutricional'!E$11/(1-0.86*'Distribución estado nutricional'!E$11))
/ ('Distribución estado nutricional'!E$11/(1-'Distribución estado nutricional'!E$11)))</f>
        <v>0.85588625281854813</v>
      </c>
      <c r="F3" s="90">
        <f>IF(ISBLANK('Distribución estado nutricional'!F$11),0.86,(0.86*'Distribución estado nutricional'!F$11/(1-0.86*'Distribución estado nutricional'!F$11))
/ ('Distribución estado nutricional'!F$11/(1-'Distribución estado nutricional'!F$11)))</f>
        <v>0.85587953748096746</v>
      </c>
      <c r="G3" s="90">
        <f>IF(ISBLANK('Distribución estado nutricional'!G$11),0.86,(0.86*'Distribución estado nutricional'!G$11/(1-0.86*'Distribución estado nutricional'!G$11))
/ ('Distribución estado nutricional'!G$11/(1-'Distribución estado nutricional'!G$11)))</f>
        <v>0.85892553663821014</v>
      </c>
    </row>
    <row r="4" spans="1:7" ht="13" customHeight="1" x14ac:dyDescent="0.3">
      <c r="A4" s="4" t="s">
        <v>330</v>
      </c>
      <c r="B4" s="11"/>
      <c r="C4" s="83"/>
      <c r="D4" s="83"/>
      <c r="E4" s="83"/>
      <c r="F4" s="83"/>
      <c r="G4" s="83"/>
    </row>
    <row r="5" spans="1:7" x14ac:dyDescent="0.25">
      <c r="B5" s="5" t="s">
        <v>162</v>
      </c>
      <c r="C5" s="90">
        <v>1</v>
      </c>
      <c r="D5" s="90">
        <f>IF(ISBLANK('Distribución estado nutricional'!D$10),0.86,(0.86*'Distribución estado nutricional'!D$10/(1-0.86*'Distribución estado nutricional'!D$10))
/ ('Distribución estado nutricional'!D$10/(1-'Distribución estado nutricional'!D$10)))</f>
        <v>0.8541352665356694</v>
      </c>
      <c r="E5" s="90">
        <f>IF(ISBLANK('Distribución estado nutricional'!E$10),0.86,(0.86*'Distribución estado nutricional'!E$10/(1-0.86*'Distribución estado nutricional'!E$10))
/ ('Distribución estado nutricional'!E$10/(1-'Distribución estado nutricional'!E$10)))</f>
        <v>0.84636220449829058</v>
      </c>
      <c r="F5" s="90">
        <f>IF(ISBLANK('Distribución estado nutricional'!F$10),0.86,(0.86*'Distribución estado nutricional'!F$10/(1-0.86*'Distribución estado nutricional'!F$10))
/ ('Distribución estado nutricional'!F$10/(1-'Distribución estado nutricional'!F$10)))</f>
        <v>0.8499651483378633</v>
      </c>
      <c r="G5" s="90">
        <f>IF(ISBLANK('Distribución estado nutricional'!G$10),0.86,(0.86*'Distribución estado nutricional'!G$10/(1-0.86*'Distribución estado nutricional'!G$10))
/ ('Distribución estado nutricional'!G$10/(1-'Distribución estado nutricional'!G$10)))</f>
        <v>0.85608544310630985</v>
      </c>
    </row>
    <row r="7" spans="1:7" s="92" customFormat="1" ht="13" customHeight="1" x14ac:dyDescent="0.3">
      <c r="A7" s="92" t="s">
        <v>329</v>
      </c>
    </row>
    <row r="8" spans="1:7" ht="13" customHeight="1" x14ac:dyDescent="0.3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ht="13" customHeight="1" x14ac:dyDescent="0.3">
      <c r="A9" s="4" t="s">
        <v>334</v>
      </c>
    </row>
    <row r="10" spans="1:7" x14ac:dyDescent="0.25">
      <c r="B10" s="11" t="s">
        <v>164</v>
      </c>
      <c r="C10" s="90">
        <f>C3*0.9</f>
        <v>0.9</v>
      </c>
      <c r="D10" s="90">
        <f>D3*0.9</f>
        <v>0.7713854100494234</v>
      </c>
      <c r="E10" s="90">
        <f>E3*0.9</f>
        <v>0.77029762753669329</v>
      </c>
      <c r="F10" s="90">
        <f>F3*0.9</f>
        <v>0.77029158373287077</v>
      </c>
      <c r="G10" s="90">
        <f>G3*0.9</f>
        <v>0.77303298297438916</v>
      </c>
    </row>
    <row r="11" spans="1:7" ht="13" customHeight="1" x14ac:dyDescent="0.3">
      <c r="A11" s="4" t="s">
        <v>331</v>
      </c>
      <c r="B11" s="11"/>
      <c r="C11" s="83"/>
      <c r="D11" s="83"/>
      <c r="E11" s="83"/>
      <c r="F11" s="83"/>
      <c r="G11" s="83"/>
    </row>
    <row r="12" spans="1:7" x14ac:dyDescent="0.25">
      <c r="B12" s="5" t="s">
        <v>162</v>
      </c>
      <c r="C12" s="90">
        <f>C5*0.9</f>
        <v>0.9</v>
      </c>
      <c r="D12" s="90">
        <f>D5*0.9</f>
        <v>0.76872173988210246</v>
      </c>
      <c r="E12" s="90">
        <f>E5*0.9</f>
        <v>0.76172598404846159</v>
      </c>
      <c r="F12" s="90">
        <f>F5*0.9</f>
        <v>0.76496863350407696</v>
      </c>
      <c r="G12" s="90">
        <f>G5*0.9</f>
        <v>0.77047689879567893</v>
      </c>
    </row>
    <row r="14" spans="1:7" s="92" customFormat="1" ht="13" customHeight="1" x14ac:dyDescent="0.3">
      <c r="A14" s="92" t="s">
        <v>336</v>
      </c>
    </row>
    <row r="15" spans="1:7" ht="13" customHeight="1" x14ac:dyDescent="0.3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ht="13" customHeight="1" x14ac:dyDescent="0.3">
      <c r="A16" s="4" t="s">
        <v>335</v>
      </c>
    </row>
    <row r="17" spans="1:7" x14ac:dyDescent="0.25">
      <c r="B17" s="11" t="s">
        <v>164</v>
      </c>
      <c r="C17" s="90">
        <f>C3*1.05</f>
        <v>1.05</v>
      </c>
      <c r="D17" s="90">
        <f>D3*1.05</f>
        <v>0.89994964505766062</v>
      </c>
      <c r="E17" s="90">
        <f>E3*1.05</f>
        <v>0.89868056545947561</v>
      </c>
      <c r="F17" s="90">
        <f>F3*1.05</f>
        <v>0.89867351435501586</v>
      </c>
      <c r="G17" s="90">
        <f>G3*1.05</f>
        <v>0.90187181347012069</v>
      </c>
    </row>
    <row r="18" spans="1:7" ht="13" customHeight="1" x14ac:dyDescent="0.3">
      <c r="A18" s="4" t="s">
        <v>332</v>
      </c>
      <c r="B18" s="11"/>
      <c r="C18" s="83"/>
      <c r="D18" s="83"/>
      <c r="E18" s="83"/>
      <c r="F18" s="83"/>
      <c r="G18" s="83"/>
    </row>
    <row r="19" spans="1:7" x14ac:dyDescent="0.25">
      <c r="B19" s="5" t="s">
        <v>162</v>
      </c>
      <c r="C19" s="90">
        <f>C5*1.05</f>
        <v>1.05</v>
      </c>
      <c r="D19" s="90">
        <f>D5*1.05</f>
        <v>0.89684202986245287</v>
      </c>
      <c r="E19" s="90">
        <f>E5*1.05</f>
        <v>0.88868031472320519</v>
      </c>
      <c r="F19" s="90">
        <f>F5*1.05</f>
        <v>0.89246340575475647</v>
      </c>
      <c r="G19" s="90">
        <f>G5*1.05</f>
        <v>0.89888971526162542</v>
      </c>
    </row>
  </sheetData>
  <sheetProtection algorithmName="SHA-512" hashValue="Tpv3ICwn/karcuomRRmNuGtgAm3cvuiXY6Y4NFBjB/nzdEm/nVC9MNTiZtYkqo1o5q2/nPtyUnzy/yn3483h6g==" saltValue="yWYFoMXMZ33uL4EtKlRd1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31" zoomScale="70" zoomScaleNormal="70" workbookViewId="0">
      <selection activeCell="D12" sqref="D12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x14ac:dyDescent="0.25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339</v>
      </c>
      <c r="D3" s="90">
        <v>0</v>
      </c>
      <c r="E3" s="90">
        <v>0</v>
      </c>
      <c r="F3" s="90">
        <v>0.88</v>
      </c>
      <c r="G3" s="90">
        <v>0.88</v>
      </c>
      <c r="H3" s="90">
        <v>0.88</v>
      </c>
    </row>
    <row r="4" spans="1:8" x14ac:dyDescent="0.25">
      <c r="C4" s="5" t="s">
        <v>338</v>
      </c>
      <c r="D4" s="90">
        <v>0</v>
      </c>
      <c r="E4" s="90">
        <v>0</v>
      </c>
      <c r="F4" s="90">
        <v>0.85</v>
      </c>
      <c r="G4" s="90">
        <v>0.85</v>
      </c>
      <c r="H4" s="90">
        <v>0.85</v>
      </c>
    </row>
    <row r="5" spans="1:8" x14ac:dyDescent="0.25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338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6</v>
      </c>
      <c r="C7" s="5" t="s">
        <v>337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338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338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6</v>
      </c>
      <c r="C11" s="5" t="s">
        <v>337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338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338</v>
      </c>
      <c r="D14" s="90">
        <v>0</v>
      </c>
      <c r="E14" s="90">
        <v>0</v>
      </c>
      <c r="F14" s="90">
        <v>0.69</v>
      </c>
      <c r="G14" s="90">
        <v>0.69</v>
      </c>
      <c r="H14" s="90">
        <v>0</v>
      </c>
    </row>
    <row r="15" spans="1:8" x14ac:dyDescent="0.25">
      <c r="B15" s="5" t="s">
        <v>6</v>
      </c>
      <c r="C15" s="5" t="s">
        <v>337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338</v>
      </c>
      <c r="D16" s="90">
        <v>0</v>
      </c>
      <c r="E16" s="90">
        <v>0</v>
      </c>
      <c r="F16" s="90">
        <v>0.86</v>
      </c>
      <c r="G16" s="90">
        <v>0.86</v>
      </c>
      <c r="H16" s="90">
        <v>0</v>
      </c>
    </row>
    <row r="17" spans="1:8" x14ac:dyDescent="0.25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338</v>
      </c>
      <c r="D18" s="90">
        <v>0</v>
      </c>
      <c r="E18" s="90">
        <v>0</v>
      </c>
      <c r="F18" s="90">
        <v>0.32</v>
      </c>
      <c r="G18" s="90">
        <v>0.32</v>
      </c>
      <c r="H18" s="90">
        <v>0.32</v>
      </c>
    </row>
    <row r="19" spans="1:8" x14ac:dyDescent="0.25">
      <c r="B19" s="5" t="s">
        <v>6</v>
      </c>
      <c r="C19" s="5" t="s">
        <v>337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338</v>
      </c>
      <c r="D20" s="90">
        <v>0</v>
      </c>
      <c r="E20" s="90">
        <v>0</v>
      </c>
      <c r="F20" s="90">
        <v>0.4</v>
      </c>
      <c r="G20" s="90">
        <v>0.4</v>
      </c>
      <c r="H20" s="90">
        <v>0.4</v>
      </c>
    </row>
    <row r="21" spans="1:8" x14ac:dyDescent="0.25">
      <c r="A21" s="5" t="s">
        <v>173</v>
      </c>
      <c r="B21" s="5" t="s">
        <v>92</v>
      </c>
      <c r="C21" s="5" t="s">
        <v>337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171</v>
      </c>
      <c r="B23" s="5" t="s">
        <v>92</v>
      </c>
      <c r="C23" s="5" t="s">
        <v>337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172</v>
      </c>
      <c r="B25" s="5" t="s">
        <v>92</v>
      </c>
      <c r="C25" s="5" t="s">
        <v>337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203</v>
      </c>
      <c r="B42" s="5" t="s">
        <v>84</v>
      </c>
      <c r="C42" s="5" t="s">
        <v>337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339</v>
      </c>
      <c r="D43" s="90">
        <v>0.95</v>
      </c>
      <c r="E43" s="90">
        <v>0.95</v>
      </c>
      <c r="F43" s="90">
        <v>0.95</v>
      </c>
      <c r="G43" s="90">
        <v>0.95</v>
      </c>
      <c r="H43" s="90">
        <v>0.95</v>
      </c>
    </row>
    <row r="44" spans="1:8" x14ac:dyDescent="0.25">
      <c r="C44" s="5" t="s">
        <v>338</v>
      </c>
      <c r="D44" s="90">
        <v>0.91</v>
      </c>
      <c r="E44" s="90">
        <v>0.91</v>
      </c>
      <c r="F44" s="90">
        <v>0.91</v>
      </c>
      <c r="G44" s="90">
        <v>0.91</v>
      </c>
      <c r="H44" s="90">
        <v>0.91</v>
      </c>
    </row>
    <row r="45" spans="1:8" x14ac:dyDescent="0.25">
      <c r="B45" s="5" t="s">
        <v>102</v>
      </c>
      <c r="C45" s="5" t="s">
        <v>337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338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192</v>
      </c>
      <c r="B48" s="5" t="s">
        <v>84</v>
      </c>
      <c r="C48" s="5" t="s">
        <v>337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202</v>
      </c>
      <c r="B50" s="5" t="s">
        <v>84</v>
      </c>
      <c r="C50" s="5" t="s">
        <v>337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182</v>
      </c>
      <c r="B52" s="5" t="s">
        <v>96</v>
      </c>
      <c r="C52" s="5" t="s">
        <v>337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329</v>
      </c>
      <c r="B55" s="97"/>
      <c r="C55" s="97"/>
    </row>
    <row r="56" spans="1:8" ht="13" customHeight="1" x14ac:dyDescent="0.3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x14ac:dyDescent="0.25">
      <c r="A57" s="5" t="s">
        <v>196</v>
      </c>
      <c r="B57" s="5" t="s">
        <v>84</v>
      </c>
      <c r="C57" s="5" t="s">
        <v>337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339</v>
      </c>
      <c r="D58" s="90">
        <f t="shared" ref="D58:E77" si="0">IF($C3="Affected fraction",D3,IF(D3=1,1,D3*0.9))</f>
        <v>0</v>
      </c>
      <c r="E58" s="90">
        <f t="shared" si="0"/>
        <v>0</v>
      </c>
      <c r="F58" s="90">
        <v>0.79</v>
      </c>
      <c r="G58" s="90">
        <v>0.79</v>
      </c>
      <c r="H58" s="90">
        <v>0.79</v>
      </c>
    </row>
    <row r="59" spans="1:8" x14ac:dyDescent="0.25">
      <c r="C59" s="5" t="s">
        <v>338</v>
      </c>
      <c r="D59" s="90">
        <f t="shared" si="0"/>
        <v>0</v>
      </c>
      <c r="E59" s="90">
        <f t="shared" si="0"/>
        <v>0</v>
      </c>
      <c r="F59" s="90">
        <v>0.82</v>
      </c>
      <c r="G59" s="90">
        <v>0.82</v>
      </c>
      <c r="H59" s="90">
        <v>0.82</v>
      </c>
    </row>
    <row r="60" spans="1:8" x14ac:dyDescent="0.25">
      <c r="A60" s="5" t="s">
        <v>193</v>
      </c>
      <c r="B60" s="5" t="s">
        <v>207</v>
      </c>
      <c r="C60" s="5" t="s">
        <v>337</v>
      </c>
      <c r="D60" s="90">
        <f t="shared" si="0"/>
        <v>0</v>
      </c>
      <c r="E60" s="90">
        <f t="shared" si="0"/>
        <v>0</v>
      </c>
      <c r="F60" s="90">
        <f t="shared" ref="F60:H68" si="1">IF($C5="Affected fraction",F5,IF(F5=1,1,F5*0.9))</f>
        <v>1</v>
      </c>
      <c r="G60" s="90">
        <f t="shared" si="1"/>
        <v>1</v>
      </c>
      <c r="H60" s="90">
        <f t="shared" si="1"/>
        <v>0</v>
      </c>
    </row>
    <row r="61" spans="1:8" x14ac:dyDescent="0.25">
      <c r="C61" s="5" t="s">
        <v>338</v>
      </c>
      <c r="D61" s="90">
        <f t="shared" si="0"/>
        <v>0</v>
      </c>
      <c r="E61" s="90">
        <f t="shared" si="0"/>
        <v>0</v>
      </c>
      <c r="F61" s="90">
        <f t="shared" si="1"/>
        <v>0</v>
      </c>
      <c r="G61" s="90">
        <f t="shared" si="1"/>
        <v>0</v>
      </c>
      <c r="H61" s="90">
        <f t="shared" si="1"/>
        <v>0</v>
      </c>
    </row>
    <row r="62" spans="1:8" x14ac:dyDescent="0.25">
      <c r="B62" s="5" t="s">
        <v>6</v>
      </c>
      <c r="C62" s="5" t="s">
        <v>337</v>
      </c>
      <c r="D62" s="90">
        <f t="shared" si="0"/>
        <v>0</v>
      </c>
      <c r="E62" s="90">
        <f t="shared" si="0"/>
        <v>0</v>
      </c>
      <c r="F62" s="90">
        <f t="shared" si="1"/>
        <v>1</v>
      </c>
      <c r="G62" s="90">
        <f t="shared" si="1"/>
        <v>1</v>
      </c>
      <c r="H62" s="90">
        <f t="shared" si="1"/>
        <v>0</v>
      </c>
    </row>
    <row r="63" spans="1:8" x14ac:dyDescent="0.25">
      <c r="C63" s="5" t="s">
        <v>338</v>
      </c>
      <c r="D63" s="90">
        <f t="shared" si="0"/>
        <v>0</v>
      </c>
      <c r="E63" s="90">
        <f t="shared" si="0"/>
        <v>0</v>
      </c>
      <c r="F63" s="90">
        <f t="shared" si="1"/>
        <v>0</v>
      </c>
      <c r="G63" s="90">
        <f t="shared" si="1"/>
        <v>0</v>
      </c>
      <c r="H63" s="90">
        <f t="shared" si="1"/>
        <v>0</v>
      </c>
    </row>
    <row r="64" spans="1:8" x14ac:dyDescent="0.25">
      <c r="A64" s="5" t="s">
        <v>184</v>
      </c>
      <c r="B64" s="5" t="s">
        <v>207</v>
      </c>
      <c r="C64" s="5" t="s">
        <v>337</v>
      </c>
      <c r="D64" s="90">
        <f t="shared" si="0"/>
        <v>0</v>
      </c>
      <c r="E64" s="90">
        <f t="shared" si="0"/>
        <v>0</v>
      </c>
      <c r="F64" s="90">
        <f t="shared" si="1"/>
        <v>1</v>
      </c>
      <c r="G64" s="90">
        <f t="shared" si="1"/>
        <v>1</v>
      </c>
      <c r="H64" s="90">
        <f t="shared" si="1"/>
        <v>0</v>
      </c>
    </row>
    <row r="65" spans="1:8" x14ac:dyDescent="0.25">
      <c r="C65" s="5" t="s">
        <v>338</v>
      </c>
      <c r="D65" s="90">
        <f t="shared" si="0"/>
        <v>0</v>
      </c>
      <c r="E65" s="90">
        <f t="shared" si="0"/>
        <v>0</v>
      </c>
      <c r="F65" s="90">
        <f t="shared" si="1"/>
        <v>0</v>
      </c>
      <c r="G65" s="90">
        <f t="shared" si="1"/>
        <v>0</v>
      </c>
      <c r="H65" s="90">
        <f t="shared" si="1"/>
        <v>0</v>
      </c>
    </row>
    <row r="66" spans="1:8" x14ac:dyDescent="0.25">
      <c r="B66" s="5" t="s">
        <v>6</v>
      </c>
      <c r="C66" s="5" t="s">
        <v>337</v>
      </c>
      <c r="D66" s="90">
        <f t="shared" si="0"/>
        <v>0</v>
      </c>
      <c r="E66" s="90">
        <f t="shared" si="0"/>
        <v>0</v>
      </c>
      <c r="F66" s="90">
        <f t="shared" si="1"/>
        <v>1</v>
      </c>
      <c r="G66" s="90">
        <f t="shared" si="1"/>
        <v>1</v>
      </c>
      <c r="H66" s="90">
        <f t="shared" si="1"/>
        <v>0</v>
      </c>
    </row>
    <row r="67" spans="1:8" x14ac:dyDescent="0.25">
      <c r="C67" s="5" t="s">
        <v>338</v>
      </c>
      <c r="D67" s="90">
        <f t="shared" si="0"/>
        <v>0</v>
      </c>
      <c r="E67" s="90">
        <f t="shared" si="0"/>
        <v>0</v>
      </c>
      <c r="F67" s="90">
        <f t="shared" si="1"/>
        <v>0</v>
      </c>
      <c r="G67" s="90">
        <f t="shared" si="1"/>
        <v>0</v>
      </c>
      <c r="H67" s="90">
        <f t="shared" si="1"/>
        <v>0</v>
      </c>
    </row>
    <row r="68" spans="1:8" x14ac:dyDescent="0.25">
      <c r="A68" s="5" t="s">
        <v>204</v>
      </c>
      <c r="B68" s="5" t="s">
        <v>207</v>
      </c>
      <c r="C68" s="5" t="s">
        <v>337</v>
      </c>
      <c r="D68" s="90">
        <f t="shared" si="0"/>
        <v>0</v>
      </c>
      <c r="E68" s="90">
        <f t="shared" si="0"/>
        <v>0</v>
      </c>
      <c r="F68" s="90">
        <f t="shared" si="1"/>
        <v>1</v>
      </c>
      <c r="G68" s="90">
        <f t="shared" si="1"/>
        <v>1</v>
      </c>
      <c r="H68" s="90">
        <f t="shared" si="1"/>
        <v>0</v>
      </c>
    </row>
    <row r="69" spans="1:8" x14ac:dyDescent="0.25">
      <c r="C69" s="5" t="s">
        <v>338</v>
      </c>
      <c r="D69" s="90">
        <f t="shared" si="0"/>
        <v>0</v>
      </c>
      <c r="E69" s="90">
        <f t="shared" si="0"/>
        <v>0</v>
      </c>
      <c r="F69" s="90">
        <v>0.55000000000000004</v>
      </c>
      <c r="G69" s="90">
        <v>0.55000000000000004</v>
      </c>
      <c r="H69" s="90">
        <f t="shared" ref="H69:H108" si="2">IF($C14="Affected fraction",H14,IF(H14=1,1,H14*0.9))</f>
        <v>0</v>
      </c>
    </row>
    <row r="70" spans="1:8" x14ac:dyDescent="0.25">
      <c r="B70" s="5" t="s">
        <v>6</v>
      </c>
      <c r="C70" s="5" t="s">
        <v>337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 t="shared" si="2"/>
        <v>0</v>
      </c>
    </row>
    <row r="71" spans="1:8" x14ac:dyDescent="0.25">
      <c r="C71" s="5" t="s">
        <v>338</v>
      </c>
      <c r="D71" s="90">
        <f t="shared" si="0"/>
        <v>0</v>
      </c>
      <c r="E71" s="90">
        <f t="shared" si="0"/>
        <v>0</v>
      </c>
      <c r="F71" s="90">
        <v>0.8</v>
      </c>
      <c r="G71" s="90">
        <v>0.8</v>
      </c>
      <c r="H71" s="90">
        <f t="shared" si="2"/>
        <v>0</v>
      </c>
    </row>
    <row r="72" spans="1:8" x14ac:dyDescent="0.25">
      <c r="A72" s="5" t="s">
        <v>167</v>
      </c>
      <c r="B72" s="5" t="s">
        <v>207</v>
      </c>
      <c r="C72" s="5" t="s">
        <v>337</v>
      </c>
      <c r="D72" s="90">
        <f t="shared" si="0"/>
        <v>0</v>
      </c>
      <c r="E72" s="90">
        <f t="shared" si="0"/>
        <v>0</v>
      </c>
      <c r="F72" s="90">
        <f t="shared" ref="F72:G91" si="3">IF($C17="Affected fraction",F17,IF(F17=1,1,F17*0.9))</f>
        <v>1</v>
      </c>
      <c r="G72" s="90">
        <f t="shared" si="3"/>
        <v>1</v>
      </c>
      <c r="H72" s="90">
        <f t="shared" si="2"/>
        <v>1</v>
      </c>
    </row>
    <row r="73" spans="1:8" x14ac:dyDescent="0.25">
      <c r="C73" s="5" t="s">
        <v>338</v>
      </c>
      <c r="D73" s="90">
        <f t="shared" si="0"/>
        <v>0</v>
      </c>
      <c r="E73" s="90">
        <f t="shared" si="0"/>
        <v>0</v>
      </c>
      <c r="F73" s="90">
        <f t="shared" si="3"/>
        <v>0.28800000000000003</v>
      </c>
      <c r="G73" s="90">
        <f t="shared" si="3"/>
        <v>0.28800000000000003</v>
      </c>
      <c r="H73" s="90">
        <f t="shared" si="2"/>
        <v>0.28800000000000003</v>
      </c>
    </row>
    <row r="74" spans="1:8" x14ac:dyDescent="0.25">
      <c r="B74" s="5" t="s">
        <v>6</v>
      </c>
      <c r="C74" s="5" t="s">
        <v>337</v>
      </c>
      <c r="D74" s="90">
        <f t="shared" si="0"/>
        <v>0</v>
      </c>
      <c r="E74" s="90">
        <f t="shared" si="0"/>
        <v>0</v>
      </c>
      <c r="F74" s="90">
        <f t="shared" si="3"/>
        <v>1</v>
      </c>
      <c r="G74" s="90">
        <f t="shared" si="3"/>
        <v>1</v>
      </c>
      <c r="H74" s="90">
        <f t="shared" si="2"/>
        <v>1</v>
      </c>
    </row>
    <row r="75" spans="1:8" x14ac:dyDescent="0.25">
      <c r="C75" s="5" t="s">
        <v>338</v>
      </c>
      <c r="D75" s="90">
        <f t="shared" si="0"/>
        <v>0</v>
      </c>
      <c r="E75" s="90">
        <f t="shared" si="0"/>
        <v>0</v>
      </c>
      <c r="F75" s="90">
        <f t="shared" si="3"/>
        <v>0.36000000000000004</v>
      </c>
      <c r="G75" s="90">
        <f t="shared" si="3"/>
        <v>0.36000000000000004</v>
      </c>
      <c r="H75" s="90">
        <f t="shared" si="2"/>
        <v>0.36000000000000004</v>
      </c>
    </row>
    <row r="76" spans="1:8" x14ac:dyDescent="0.25">
      <c r="A76" s="5" t="s">
        <v>173</v>
      </c>
      <c r="B76" s="5" t="s">
        <v>92</v>
      </c>
      <c r="C76" s="5" t="s">
        <v>337</v>
      </c>
      <c r="D76" s="90">
        <f t="shared" si="0"/>
        <v>1</v>
      </c>
      <c r="E76" s="90">
        <f t="shared" si="0"/>
        <v>0</v>
      </c>
      <c r="F76" s="90">
        <f t="shared" si="3"/>
        <v>0</v>
      </c>
      <c r="G76" s="90">
        <f t="shared" si="3"/>
        <v>0</v>
      </c>
      <c r="H76" s="90">
        <f t="shared" si="2"/>
        <v>0</v>
      </c>
    </row>
    <row r="77" spans="1:8" x14ac:dyDescent="0.25">
      <c r="C77" s="5" t="s">
        <v>339</v>
      </c>
      <c r="D77" s="90">
        <f t="shared" si="0"/>
        <v>0.11700000000000001</v>
      </c>
      <c r="E77" s="90">
        <f t="shared" si="0"/>
        <v>0</v>
      </c>
      <c r="F77" s="90">
        <f t="shared" si="3"/>
        <v>0</v>
      </c>
      <c r="G77" s="90">
        <f t="shared" si="3"/>
        <v>0</v>
      </c>
      <c r="H77" s="90">
        <f t="shared" si="2"/>
        <v>0</v>
      </c>
    </row>
    <row r="78" spans="1:8" x14ac:dyDescent="0.25">
      <c r="A78" s="5" t="s">
        <v>171</v>
      </c>
      <c r="B78" s="5" t="s">
        <v>92</v>
      </c>
      <c r="C78" s="5" t="s">
        <v>337</v>
      </c>
      <c r="D78" s="90">
        <f t="shared" ref="D78:E97" si="4">IF($C23="Affected fraction",D23,IF(D23=1,1,D23*0.9))</f>
        <v>1</v>
      </c>
      <c r="E78" s="90">
        <f t="shared" si="4"/>
        <v>0</v>
      </c>
      <c r="F78" s="90">
        <f t="shared" si="3"/>
        <v>0</v>
      </c>
      <c r="G78" s="90">
        <f t="shared" si="3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4"/>
        <v>0.11700000000000001</v>
      </c>
      <c r="E79" s="90">
        <f t="shared" si="4"/>
        <v>0</v>
      </c>
      <c r="F79" s="90">
        <f t="shared" si="3"/>
        <v>0</v>
      </c>
      <c r="G79" s="90">
        <f t="shared" si="3"/>
        <v>0</v>
      </c>
      <c r="H79" s="90">
        <f t="shared" si="2"/>
        <v>0</v>
      </c>
    </row>
    <row r="80" spans="1:8" x14ac:dyDescent="0.25">
      <c r="A80" s="5" t="s">
        <v>172</v>
      </c>
      <c r="B80" s="5" t="s">
        <v>92</v>
      </c>
      <c r="C80" s="5" t="s">
        <v>337</v>
      </c>
      <c r="D80" s="90">
        <f t="shared" si="4"/>
        <v>1</v>
      </c>
      <c r="E80" s="90">
        <f t="shared" si="4"/>
        <v>0</v>
      </c>
      <c r="F80" s="90">
        <f t="shared" si="3"/>
        <v>0</v>
      </c>
      <c r="G80" s="90">
        <f t="shared" si="3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4"/>
        <v>0.11700000000000001</v>
      </c>
      <c r="E81" s="90">
        <f t="shared" si="4"/>
        <v>0</v>
      </c>
      <c r="F81" s="90">
        <f t="shared" si="3"/>
        <v>0</v>
      </c>
      <c r="G81" s="90">
        <f t="shared" si="3"/>
        <v>0</v>
      </c>
      <c r="H81" s="90">
        <f t="shared" si="2"/>
        <v>0</v>
      </c>
    </row>
    <row r="82" spans="1:8" x14ac:dyDescent="0.25">
      <c r="A82" s="5" t="s">
        <v>200</v>
      </c>
      <c r="B82" s="5" t="s">
        <v>84</v>
      </c>
      <c r="C82" s="5" t="s">
        <v>337</v>
      </c>
      <c r="D82" s="90">
        <f t="shared" si="4"/>
        <v>1</v>
      </c>
      <c r="E82" s="90">
        <f t="shared" si="4"/>
        <v>1</v>
      </c>
      <c r="F82" s="90">
        <f t="shared" si="3"/>
        <v>1</v>
      </c>
      <c r="G82" s="90">
        <f t="shared" si="3"/>
        <v>1</v>
      </c>
      <c r="H82" s="90">
        <f t="shared" si="2"/>
        <v>1</v>
      </c>
    </row>
    <row r="83" spans="1:8" x14ac:dyDescent="0.25">
      <c r="C83" s="5" t="s">
        <v>339</v>
      </c>
      <c r="D83" s="90">
        <f t="shared" si="4"/>
        <v>0</v>
      </c>
      <c r="E83" s="90">
        <f t="shared" si="4"/>
        <v>0</v>
      </c>
      <c r="F83" s="90">
        <f t="shared" si="3"/>
        <v>0</v>
      </c>
      <c r="G83" s="90">
        <f t="shared" si="3"/>
        <v>0</v>
      </c>
      <c r="H83" s="90">
        <f t="shared" si="2"/>
        <v>0</v>
      </c>
    </row>
    <row r="84" spans="1:8" x14ac:dyDescent="0.25">
      <c r="C84" s="5" t="s">
        <v>338</v>
      </c>
      <c r="D84" s="90">
        <f t="shared" si="4"/>
        <v>0</v>
      </c>
      <c r="E84" s="90">
        <f t="shared" si="4"/>
        <v>0</v>
      </c>
      <c r="F84" s="90">
        <f t="shared" si="3"/>
        <v>0</v>
      </c>
      <c r="G84" s="90">
        <f t="shared" si="3"/>
        <v>0</v>
      </c>
      <c r="H84" s="90">
        <f t="shared" si="2"/>
        <v>0</v>
      </c>
    </row>
    <row r="85" spans="1:8" x14ac:dyDescent="0.25">
      <c r="A85" s="5" t="s">
        <v>201</v>
      </c>
      <c r="B85" s="5" t="s">
        <v>84</v>
      </c>
      <c r="C85" s="5" t="s">
        <v>337</v>
      </c>
      <c r="D85" s="90">
        <f t="shared" si="4"/>
        <v>1</v>
      </c>
      <c r="E85" s="90">
        <f t="shared" si="4"/>
        <v>1</v>
      </c>
      <c r="F85" s="90">
        <f t="shared" si="3"/>
        <v>1</v>
      </c>
      <c r="G85" s="90">
        <f t="shared" si="3"/>
        <v>1</v>
      </c>
      <c r="H85" s="90">
        <f t="shared" si="2"/>
        <v>1</v>
      </c>
    </row>
    <row r="86" spans="1:8" x14ac:dyDescent="0.25">
      <c r="C86" s="5" t="s">
        <v>339</v>
      </c>
      <c r="D86" s="90">
        <f t="shared" si="4"/>
        <v>0</v>
      </c>
      <c r="E86" s="90">
        <f t="shared" si="4"/>
        <v>0</v>
      </c>
      <c r="F86" s="90">
        <f t="shared" si="3"/>
        <v>0</v>
      </c>
      <c r="G86" s="90">
        <f t="shared" si="3"/>
        <v>0</v>
      </c>
      <c r="H86" s="90">
        <f t="shared" si="2"/>
        <v>0</v>
      </c>
    </row>
    <row r="87" spans="1:8" x14ac:dyDescent="0.25">
      <c r="C87" s="5" t="s">
        <v>338</v>
      </c>
      <c r="D87" s="90">
        <f t="shared" si="4"/>
        <v>0</v>
      </c>
      <c r="E87" s="90">
        <f t="shared" si="4"/>
        <v>0</v>
      </c>
      <c r="F87" s="90">
        <f t="shared" si="3"/>
        <v>0</v>
      </c>
      <c r="G87" s="90">
        <f t="shared" si="3"/>
        <v>0</v>
      </c>
      <c r="H87" s="90">
        <f t="shared" si="2"/>
        <v>0</v>
      </c>
    </row>
    <row r="88" spans="1:8" x14ac:dyDescent="0.25">
      <c r="A88" s="5" t="s">
        <v>199</v>
      </c>
      <c r="B88" s="5" t="s">
        <v>84</v>
      </c>
      <c r="C88" s="5" t="s">
        <v>337</v>
      </c>
      <c r="D88" s="90">
        <f t="shared" si="4"/>
        <v>1</v>
      </c>
      <c r="E88" s="90">
        <f t="shared" si="4"/>
        <v>1</v>
      </c>
      <c r="F88" s="90">
        <f t="shared" si="3"/>
        <v>1</v>
      </c>
      <c r="G88" s="90">
        <f t="shared" si="3"/>
        <v>1</v>
      </c>
      <c r="H88" s="90">
        <f t="shared" si="2"/>
        <v>1</v>
      </c>
    </row>
    <row r="89" spans="1:8" x14ac:dyDescent="0.25">
      <c r="C89" s="5" t="s">
        <v>339</v>
      </c>
      <c r="D89" s="90">
        <f t="shared" si="4"/>
        <v>0</v>
      </c>
      <c r="E89" s="90">
        <f t="shared" si="4"/>
        <v>0</v>
      </c>
      <c r="F89" s="90">
        <f t="shared" si="3"/>
        <v>0</v>
      </c>
      <c r="G89" s="90">
        <f t="shared" si="3"/>
        <v>0</v>
      </c>
      <c r="H89" s="90">
        <f t="shared" si="2"/>
        <v>0</v>
      </c>
    </row>
    <row r="90" spans="1:8" x14ac:dyDescent="0.25">
      <c r="C90" s="5" t="s">
        <v>338</v>
      </c>
      <c r="D90" s="90">
        <f t="shared" si="4"/>
        <v>0</v>
      </c>
      <c r="E90" s="90">
        <f t="shared" si="4"/>
        <v>0</v>
      </c>
      <c r="F90" s="90">
        <f t="shared" si="3"/>
        <v>0</v>
      </c>
      <c r="G90" s="90">
        <f t="shared" si="3"/>
        <v>0</v>
      </c>
      <c r="H90" s="90">
        <f t="shared" si="2"/>
        <v>0</v>
      </c>
    </row>
    <row r="91" spans="1:8" x14ac:dyDescent="0.25">
      <c r="A91" s="5" t="s">
        <v>198</v>
      </c>
      <c r="B91" s="5" t="s">
        <v>84</v>
      </c>
      <c r="C91" s="5" t="s">
        <v>337</v>
      </c>
      <c r="D91" s="90">
        <f t="shared" si="4"/>
        <v>1</v>
      </c>
      <c r="E91" s="90">
        <f t="shared" si="4"/>
        <v>1</v>
      </c>
      <c r="F91" s="90">
        <f t="shared" si="3"/>
        <v>1</v>
      </c>
      <c r="G91" s="90">
        <f t="shared" si="3"/>
        <v>1</v>
      </c>
      <c r="H91" s="90">
        <f t="shared" si="2"/>
        <v>1</v>
      </c>
    </row>
    <row r="92" spans="1:8" x14ac:dyDescent="0.25">
      <c r="C92" s="5" t="s">
        <v>339</v>
      </c>
      <c r="D92" s="90">
        <f t="shared" si="4"/>
        <v>0</v>
      </c>
      <c r="E92" s="90">
        <f t="shared" si="4"/>
        <v>0</v>
      </c>
      <c r="F92" s="90">
        <f t="shared" ref="F92:G108" si="5">IF($C37="Affected fraction",F37,IF(F37=1,1,F37*0.9))</f>
        <v>0</v>
      </c>
      <c r="G92" s="90">
        <f t="shared" si="5"/>
        <v>0</v>
      </c>
      <c r="H92" s="90">
        <f t="shared" si="2"/>
        <v>0</v>
      </c>
    </row>
    <row r="93" spans="1:8" x14ac:dyDescent="0.25">
      <c r="C93" s="5" t="s">
        <v>338</v>
      </c>
      <c r="D93" s="90">
        <f t="shared" si="4"/>
        <v>0</v>
      </c>
      <c r="E93" s="90">
        <f t="shared" si="4"/>
        <v>0</v>
      </c>
      <c r="F93" s="90">
        <f t="shared" si="5"/>
        <v>0</v>
      </c>
      <c r="G93" s="90">
        <f t="shared" si="5"/>
        <v>0</v>
      </c>
      <c r="H93" s="90">
        <f t="shared" si="2"/>
        <v>0</v>
      </c>
    </row>
    <row r="94" spans="1:8" x14ac:dyDescent="0.25">
      <c r="A94" s="5" t="s">
        <v>197</v>
      </c>
      <c r="B94" s="5" t="s">
        <v>84</v>
      </c>
      <c r="C94" s="5" t="s">
        <v>337</v>
      </c>
      <c r="D94" s="90">
        <f t="shared" si="4"/>
        <v>1</v>
      </c>
      <c r="E94" s="90">
        <f t="shared" si="4"/>
        <v>1</v>
      </c>
      <c r="F94" s="90">
        <f t="shared" si="5"/>
        <v>1</v>
      </c>
      <c r="G94" s="90">
        <f t="shared" si="5"/>
        <v>1</v>
      </c>
      <c r="H94" s="90">
        <f t="shared" si="2"/>
        <v>1</v>
      </c>
    </row>
    <row r="95" spans="1:8" x14ac:dyDescent="0.25">
      <c r="C95" s="5" t="s">
        <v>339</v>
      </c>
      <c r="D95" s="90">
        <f t="shared" si="4"/>
        <v>0</v>
      </c>
      <c r="E95" s="90">
        <f t="shared" si="4"/>
        <v>0</v>
      </c>
      <c r="F95" s="90">
        <f t="shared" si="5"/>
        <v>0</v>
      </c>
      <c r="G95" s="90">
        <f t="shared" si="5"/>
        <v>0</v>
      </c>
      <c r="H95" s="90">
        <f t="shared" si="2"/>
        <v>0</v>
      </c>
    </row>
    <row r="96" spans="1:8" x14ac:dyDescent="0.25">
      <c r="C96" s="5" t="s">
        <v>338</v>
      </c>
      <c r="D96" s="90">
        <f t="shared" si="4"/>
        <v>0</v>
      </c>
      <c r="E96" s="90">
        <f t="shared" si="4"/>
        <v>0</v>
      </c>
      <c r="F96" s="90">
        <f t="shared" si="5"/>
        <v>0</v>
      </c>
      <c r="G96" s="90">
        <f t="shared" si="5"/>
        <v>0</v>
      </c>
      <c r="H96" s="90">
        <f t="shared" si="2"/>
        <v>0</v>
      </c>
    </row>
    <row r="97" spans="1:8" x14ac:dyDescent="0.25">
      <c r="A97" s="5" t="s">
        <v>203</v>
      </c>
      <c r="B97" s="5" t="s">
        <v>84</v>
      </c>
      <c r="C97" s="5" t="s">
        <v>337</v>
      </c>
      <c r="D97" s="90">
        <f t="shared" si="4"/>
        <v>0</v>
      </c>
      <c r="E97" s="90">
        <f t="shared" si="4"/>
        <v>1</v>
      </c>
      <c r="F97" s="90">
        <f t="shared" si="5"/>
        <v>1</v>
      </c>
      <c r="G97" s="90">
        <f t="shared" si="5"/>
        <v>1</v>
      </c>
      <c r="H97" s="90">
        <f t="shared" si="2"/>
        <v>1</v>
      </c>
    </row>
    <row r="98" spans="1:8" x14ac:dyDescent="0.25">
      <c r="C98" s="5" t="s">
        <v>339</v>
      </c>
      <c r="D98" s="90">
        <f t="shared" ref="D98:E108" si="6">IF($C43="Affected fraction",D43,IF(D43=1,1,D43*0.9))</f>
        <v>0.85499999999999998</v>
      </c>
      <c r="E98" s="90">
        <f t="shared" si="6"/>
        <v>0.85499999999999998</v>
      </c>
      <c r="F98" s="90">
        <f t="shared" si="5"/>
        <v>0.85499999999999998</v>
      </c>
      <c r="G98" s="90">
        <f t="shared" si="5"/>
        <v>0.85499999999999998</v>
      </c>
      <c r="H98" s="90">
        <f t="shared" si="2"/>
        <v>0.85499999999999998</v>
      </c>
    </row>
    <row r="99" spans="1:8" x14ac:dyDescent="0.25">
      <c r="C99" s="5" t="s">
        <v>338</v>
      </c>
      <c r="D99" s="90">
        <f t="shared" si="6"/>
        <v>0.81900000000000006</v>
      </c>
      <c r="E99" s="90">
        <f t="shared" si="6"/>
        <v>0.81900000000000006</v>
      </c>
      <c r="F99" s="90">
        <f t="shared" si="5"/>
        <v>0.81900000000000006</v>
      </c>
      <c r="G99" s="90">
        <f t="shared" si="5"/>
        <v>0.81900000000000006</v>
      </c>
      <c r="H99" s="90">
        <f t="shared" si="2"/>
        <v>0.81900000000000006</v>
      </c>
    </row>
    <row r="100" spans="1:8" x14ac:dyDescent="0.25">
      <c r="B100" s="5" t="s">
        <v>102</v>
      </c>
      <c r="C100" s="5" t="s">
        <v>337</v>
      </c>
      <c r="D100" s="90">
        <f t="shared" si="6"/>
        <v>0.27</v>
      </c>
      <c r="E100" s="90">
        <f t="shared" si="6"/>
        <v>0.27</v>
      </c>
      <c r="F100" s="90">
        <f t="shared" si="5"/>
        <v>0.27</v>
      </c>
      <c r="G100" s="90">
        <f t="shared" si="5"/>
        <v>0.27</v>
      </c>
      <c r="H100" s="90">
        <f t="shared" si="2"/>
        <v>0.27</v>
      </c>
    </row>
    <row r="101" spans="1:8" x14ac:dyDescent="0.25">
      <c r="C101" s="5" t="s">
        <v>339</v>
      </c>
      <c r="D101" s="90">
        <f t="shared" si="6"/>
        <v>0</v>
      </c>
      <c r="E101" s="90">
        <f t="shared" si="6"/>
        <v>0</v>
      </c>
      <c r="F101" s="90">
        <f t="shared" si="5"/>
        <v>0</v>
      </c>
      <c r="G101" s="90">
        <f t="shared" si="5"/>
        <v>0</v>
      </c>
      <c r="H101" s="90">
        <f t="shared" si="2"/>
        <v>0</v>
      </c>
    </row>
    <row r="102" spans="1:8" x14ac:dyDescent="0.25">
      <c r="C102" s="5" t="s">
        <v>338</v>
      </c>
      <c r="D102" s="90">
        <f t="shared" si="6"/>
        <v>0</v>
      </c>
      <c r="E102" s="90">
        <f t="shared" si="6"/>
        <v>0</v>
      </c>
      <c r="F102" s="90">
        <f t="shared" si="5"/>
        <v>0</v>
      </c>
      <c r="G102" s="90">
        <f t="shared" si="5"/>
        <v>0</v>
      </c>
      <c r="H102" s="90">
        <f t="shared" si="2"/>
        <v>0</v>
      </c>
    </row>
    <row r="103" spans="1:8" x14ac:dyDescent="0.25">
      <c r="A103" s="5" t="s">
        <v>192</v>
      </c>
      <c r="B103" s="5" t="s">
        <v>84</v>
      </c>
      <c r="C103" s="5" t="s">
        <v>337</v>
      </c>
      <c r="D103" s="90">
        <f t="shared" si="6"/>
        <v>0.79200000000000004</v>
      </c>
      <c r="E103" s="90">
        <f t="shared" si="6"/>
        <v>0.79200000000000004</v>
      </c>
      <c r="F103" s="90">
        <f t="shared" si="5"/>
        <v>0.79200000000000004</v>
      </c>
      <c r="G103" s="90">
        <f t="shared" si="5"/>
        <v>0.79200000000000004</v>
      </c>
      <c r="H103" s="90">
        <f t="shared" si="2"/>
        <v>0.79200000000000004</v>
      </c>
    </row>
    <row r="104" spans="1:8" x14ac:dyDescent="0.25">
      <c r="C104" s="5" t="s">
        <v>339</v>
      </c>
      <c r="D104" s="90">
        <f t="shared" si="6"/>
        <v>0.70568181818181819</v>
      </c>
      <c r="E104" s="90">
        <f t="shared" si="6"/>
        <v>0.70568181818181819</v>
      </c>
      <c r="F104" s="90">
        <f t="shared" si="5"/>
        <v>0.70568181818181819</v>
      </c>
      <c r="G104" s="90">
        <f t="shared" si="5"/>
        <v>0.70568181818181819</v>
      </c>
      <c r="H104" s="90">
        <f t="shared" si="2"/>
        <v>0.70568181818181819</v>
      </c>
    </row>
    <row r="105" spans="1:8" x14ac:dyDescent="0.25">
      <c r="A105" s="5" t="s">
        <v>202</v>
      </c>
      <c r="B105" s="5" t="s">
        <v>84</v>
      </c>
      <c r="C105" s="5" t="s">
        <v>337</v>
      </c>
      <c r="D105" s="90">
        <f t="shared" si="6"/>
        <v>1</v>
      </c>
      <c r="E105" s="90">
        <f t="shared" si="6"/>
        <v>1</v>
      </c>
      <c r="F105" s="90">
        <f t="shared" si="5"/>
        <v>1</v>
      </c>
      <c r="G105" s="90">
        <f t="shared" si="5"/>
        <v>1</v>
      </c>
      <c r="H105" s="90">
        <f t="shared" si="2"/>
        <v>1</v>
      </c>
    </row>
    <row r="106" spans="1:8" x14ac:dyDescent="0.25">
      <c r="C106" s="5" t="s">
        <v>339</v>
      </c>
      <c r="D106" s="90">
        <f t="shared" si="6"/>
        <v>0.68400000000000005</v>
      </c>
      <c r="E106" s="90">
        <f t="shared" si="6"/>
        <v>0.68400000000000005</v>
      </c>
      <c r="F106" s="90">
        <f t="shared" si="5"/>
        <v>0.68400000000000005</v>
      </c>
      <c r="G106" s="90">
        <f t="shared" si="5"/>
        <v>0.68400000000000005</v>
      </c>
      <c r="H106" s="90">
        <f t="shared" si="2"/>
        <v>0.68400000000000005</v>
      </c>
    </row>
    <row r="107" spans="1:8" x14ac:dyDescent="0.25">
      <c r="A107" s="5" t="s">
        <v>182</v>
      </c>
      <c r="B107" s="5" t="s">
        <v>96</v>
      </c>
      <c r="C107" s="5" t="s">
        <v>337</v>
      </c>
      <c r="D107" s="90">
        <f t="shared" si="6"/>
        <v>0.52200000000000002</v>
      </c>
      <c r="E107" s="90">
        <f t="shared" si="6"/>
        <v>0.52200000000000002</v>
      </c>
      <c r="F107" s="90">
        <f t="shared" si="5"/>
        <v>0</v>
      </c>
      <c r="G107" s="90">
        <f t="shared" si="5"/>
        <v>0</v>
      </c>
      <c r="H107" s="90">
        <f t="shared" si="2"/>
        <v>0</v>
      </c>
    </row>
    <row r="108" spans="1:8" x14ac:dyDescent="0.25">
      <c r="C108" s="5" t="s">
        <v>339</v>
      </c>
      <c r="D108" s="90">
        <f t="shared" si="6"/>
        <v>0.45900000000000002</v>
      </c>
      <c r="E108" s="90">
        <f t="shared" si="6"/>
        <v>0.45900000000000002</v>
      </c>
      <c r="F108" s="90">
        <f t="shared" si="5"/>
        <v>0</v>
      </c>
      <c r="G108" s="90">
        <f t="shared" si="5"/>
        <v>0</v>
      </c>
      <c r="H108" s="90">
        <f t="shared" si="2"/>
        <v>0</v>
      </c>
    </row>
    <row r="110" spans="1:8" s="93" customFormat="1" ht="13" customHeight="1" x14ac:dyDescent="0.3">
      <c r="A110" s="96" t="s">
        <v>336</v>
      </c>
      <c r="B110" s="97"/>
      <c r="C110" s="97"/>
    </row>
    <row r="111" spans="1:8" ht="13" customHeight="1" x14ac:dyDescent="0.3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5">
      <c r="A112" s="5" t="s">
        <v>196</v>
      </c>
      <c r="B112" s="5" t="s">
        <v>84</v>
      </c>
      <c r="C112" s="5" t="s">
        <v>337</v>
      </c>
      <c r="D112" s="90">
        <f>IF($C2="Affected fraction",D2,IF(D2=1,1,D2*1.05))</f>
        <v>0</v>
      </c>
      <c r="E112" s="90">
        <f>IF($C2="Affected fraction",E2,IF(E2=1,1,E2*1.05))</f>
        <v>0</v>
      </c>
      <c r="F112" s="90">
        <f>IF($C2="Affected fraction",F2,IF(F2=1,1,F2*1.05))</f>
        <v>1</v>
      </c>
      <c r="G112" s="90">
        <f>IF($C2="Affected fraction",G2,IF(G2=1,1,G2*1.05))</f>
        <v>1</v>
      </c>
      <c r="H112" s="90">
        <f>IF($C2="Affected fraction",H2,IF(H2=1,1,H2*1.05))</f>
        <v>1</v>
      </c>
    </row>
    <row r="113" spans="1:8" x14ac:dyDescent="0.25">
      <c r="C113" s="5" t="s">
        <v>339</v>
      </c>
      <c r="D113" s="90">
        <f t="shared" ref="D113:E132" si="7">IF($C3="Affected fraction",D3,IF(D3=1,1,D3*1.05))</f>
        <v>0</v>
      </c>
      <c r="E113" s="90">
        <f t="shared" si="7"/>
        <v>0</v>
      </c>
      <c r="F113" s="90">
        <v>0.98</v>
      </c>
      <c r="G113" s="90">
        <v>0.98</v>
      </c>
      <c r="H113" s="90">
        <v>0.98</v>
      </c>
    </row>
    <row r="114" spans="1:8" x14ac:dyDescent="0.25">
      <c r="C114" s="5" t="s">
        <v>338</v>
      </c>
      <c r="D114" s="90">
        <f t="shared" si="7"/>
        <v>0</v>
      </c>
      <c r="E114" s="90">
        <f t="shared" si="7"/>
        <v>0</v>
      </c>
      <c r="F114" s="90">
        <v>0.87</v>
      </c>
      <c r="G114" s="90">
        <v>0.87</v>
      </c>
      <c r="H114" s="90">
        <v>0.87</v>
      </c>
    </row>
    <row r="115" spans="1:8" x14ac:dyDescent="0.25">
      <c r="A115" s="5" t="s">
        <v>193</v>
      </c>
      <c r="B115" s="5" t="s">
        <v>207</v>
      </c>
      <c r="C115" s="5" t="s">
        <v>337</v>
      </c>
      <c r="D115" s="90">
        <f t="shared" si="7"/>
        <v>0</v>
      </c>
      <c r="E115" s="90">
        <f t="shared" si="7"/>
        <v>0</v>
      </c>
      <c r="F115" s="90">
        <f t="shared" ref="F115:H123" si="8">IF($C5="Affected fraction",F5,IF(F5=1,1,F5*1.05))</f>
        <v>1</v>
      </c>
      <c r="G115" s="90">
        <f t="shared" si="8"/>
        <v>1</v>
      </c>
      <c r="H115" s="90">
        <f t="shared" si="8"/>
        <v>0</v>
      </c>
    </row>
    <row r="116" spans="1:8" x14ac:dyDescent="0.25">
      <c r="C116" s="5" t="s">
        <v>338</v>
      </c>
      <c r="D116" s="90">
        <f t="shared" si="7"/>
        <v>0</v>
      </c>
      <c r="E116" s="90">
        <f t="shared" si="7"/>
        <v>0</v>
      </c>
      <c r="F116" s="90">
        <f t="shared" si="8"/>
        <v>0</v>
      </c>
      <c r="G116" s="90">
        <f t="shared" si="8"/>
        <v>0</v>
      </c>
      <c r="H116" s="90">
        <f t="shared" si="8"/>
        <v>0</v>
      </c>
    </row>
    <row r="117" spans="1:8" x14ac:dyDescent="0.25">
      <c r="B117" s="5" t="s">
        <v>6</v>
      </c>
      <c r="C117" s="5" t="s">
        <v>337</v>
      </c>
      <c r="D117" s="90">
        <f t="shared" si="7"/>
        <v>0</v>
      </c>
      <c r="E117" s="90">
        <f t="shared" si="7"/>
        <v>0</v>
      </c>
      <c r="F117" s="90">
        <f t="shared" si="8"/>
        <v>1</v>
      </c>
      <c r="G117" s="90">
        <f t="shared" si="8"/>
        <v>1</v>
      </c>
      <c r="H117" s="90">
        <f t="shared" si="8"/>
        <v>0</v>
      </c>
    </row>
    <row r="118" spans="1:8" x14ac:dyDescent="0.25">
      <c r="C118" s="5" t="s">
        <v>338</v>
      </c>
      <c r="D118" s="90">
        <f t="shared" si="7"/>
        <v>0</v>
      </c>
      <c r="E118" s="90">
        <f t="shared" si="7"/>
        <v>0</v>
      </c>
      <c r="F118" s="90">
        <f t="shared" si="8"/>
        <v>0</v>
      </c>
      <c r="G118" s="90">
        <f t="shared" si="8"/>
        <v>0</v>
      </c>
      <c r="H118" s="90">
        <f t="shared" si="8"/>
        <v>0</v>
      </c>
    </row>
    <row r="119" spans="1:8" x14ac:dyDescent="0.25">
      <c r="A119" s="5" t="s">
        <v>184</v>
      </c>
      <c r="B119" s="5" t="s">
        <v>207</v>
      </c>
      <c r="C119" s="5" t="s">
        <v>337</v>
      </c>
      <c r="D119" s="90">
        <f t="shared" si="7"/>
        <v>0</v>
      </c>
      <c r="E119" s="90">
        <f t="shared" si="7"/>
        <v>0</v>
      </c>
      <c r="F119" s="90">
        <f t="shared" si="8"/>
        <v>1</v>
      </c>
      <c r="G119" s="90">
        <f t="shared" si="8"/>
        <v>1</v>
      </c>
      <c r="H119" s="90">
        <f t="shared" si="8"/>
        <v>0</v>
      </c>
    </row>
    <row r="120" spans="1:8" x14ac:dyDescent="0.25">
      <c r="C120" s="5" t="s">
        <v>338</v>
      </c>
      <c r="D120" s="90">
        <f t="shared" si="7"/>
        <v>0</v>
      </c>
      <c r="E120" s="90">
        <f t="shared" si="7"/>
        <v>0</v>
      </c>
      <c r="F120" s="90">
        <f t="shared" si="8"/>
        <v>0</v>
      </c>
      <c r="G120" s="90">
        <f t="shared" si="8"/>
        <v>0</v>
      </c>
      <c r="H120" s="90">
        <f t="shared" si="8"/>
        <v>0</v>
      </c>
    </row>
    <row r="121" spans="1:8" x14ac:dyDescent="0.25">
      <c r="B121" s="5" t="s">
        <v>6</v>
      </c>
      <c r="C121" s="5" t="s">
        <v>337</v>
      </c>
      <c r="D121" s="90">
        <f t="shared" si="7"/>
        <v>0</v>
      </c>
      <c r="E121" s="90">
        <f t="shared" si="7"/>
        <v>0</v>
      </c>
      <c r="F121" s="90">
        <f t="shared" si="8"/>
        <v>1</v>
      </c>
      <c r="G121" s="90">
        <f t="shared" si="8"/>
        <v>1</v>
      </c>
      <c r="H121" s="90">
        <f t="shared" si="8"/>
        <v>0</v>
      </c>
    </row>
    <row r="122" spans="1:8" x14ac:dyDescent="0.25">
      <c r="C122" s="5" t="s">
        <v>338</v>
      </c>
      <c r="D122" s="90">
        <f t="shared" si="7"/>
        <v>0</v>
      </c>
      <c r="E122" s="90">
        <f t="shared" si="7"/>
        <v>0</v>
      </c>
      <c r="F122" s="90">
        <f t="shared" si="8"/>
        <v>0</v>
      </c>
      <c r="G122" s="90">
        <f t="shared" si="8"/>
        <v>0</v>
      </c>
      <c r="H122" s="90">
        <f t="shared" si="8"/>
        <v>0</v>
      </c>
    </row>
    <row r="123" spans="1:8" x14ac:dyDescent="0.25">
      <c r="A123" s="5" t="s">
        <v>204</v>
      </c>
      <c r="B123" s="5" t="s">
        <v>207</v>
      </c>
      <c r="C123" s="5" t="s">
        <v>337</v>
      </c>
      <c r="D123" s="90">
        <f t="shared" si="7"/>
        <v>0</v>
      </c>
      <c r="E123" s="90">
        <f t="shared" si="7"/>
        <v>0</v>
      </c>
      <c r="F123" s="90">
        <f t="shared" si="8"/>
        <v>1</v>
      </c>
      <c r="G123" s="90">
        <f t="shared" si="8"/>
        <v>1</v>
      </c>
      <c r="H123" s="90">
        <f t="shared" si="8"/>
        <v>0</v>
      </c>
    </row>
    <row r="124" spans="1:8" x14ac:dyDescent="0.25">
      <c r="C124" s="5" t="s">
        <v>338</v>
      </c>
      <c r="D124" s="90">
        <f t="shared" si="7"/>
        <v>0</v>
      </c>
      <c r="E124" s="90">
        <f t="shared" si="7"/>
        <v>0</v>
      </c>
      <c r="F124" s="90">
        <v>0.86</v>
      </c>
      <c r="G124" s="90">
        <v>0.86</v>
      </c>
      <c r="H124" s="90">
        <f t="shared" ref="H124:H163" si="9">IF($C14="Affected fraction",H14,IF(H14=1,1,H14*1.05))</f>
        <v>0</v>
      </c>
    </row>
    <row r="125" spans="1:8" x14ac:dyDescent="0.25">
      <c r="B125" s="5" t="s">
        <v>6</v>
      </c>
      <c r="C125" s="5" t="s">
        <v>337</v>
      </c>
      <c r="D125" s="90">
        <f t="shared" si="7"/>
        <v>0</v>
      </c>
      <c r="E125" s="90">
        <f t="shared" si="7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 t="shared" si="9"/>
        <v>0</v>
      </c>
    </row>
    <row r="126" spans="1:8" x14ac:dyDescent="0.25">
      <c r="C126" s="5" t="s">
        <v>338</v>
      </c>
      <c r="D126" s="90">
        <f t="shared" si="7"/>
        <v>0</v>
      </c>
      <c r="E126" s="90">
        <f t="shared" si="7"/>
        <v>0</v>
      </c>
      <c r="F126" s="90">
        <v>0.93</v>
      </c>
      <c r="G126" s="90">
        <v>0.93</v>
      </c>
      <c r="H126" s="90">
        <f t="shared" si="9"/>
        <v>0</v>
      </c>
    </row>
    <row r="127" spans="1:8" x14ac:dyDescent="0.25">
      <c r="A127" s="5" t="s">
        <v>167</v>
      </c>
      <c r="B127" s="5" t="s">
        <v>207</v>
      </c>
      <c r="C127" s="5" t="s">
        <v>337</v>
      </c>
      <c r="D127" s="90">
        <f t="shared" si="7"/>
        <v>0</v>
      </c>
      <c r="E127" s="90">
        <f t="shared" si="7"/>
        <v>0</v>
      </c>
      <c r="F127" s="90">
        <f t="shared" ref="F127:G146" si="10">IF($C17="Affected fraction",F17,IF(F17=1,1,F17*1.05))</f>
        <v>1</v>
      </c>
      <c r="G127" s="90">
        <f t="shared" si="10"/>
        <v>1</v>
      </c>
      <c r="H127" s="90">
        <f t="shared" si="9"/>
        <v>1</v>
      </c>
    </row>
    <row r="128" spans="1:8" x14ac:dyDescent="0.25">
      <c r="C128" s="5" t="s">
        <v>338</v>
      </c>
      <c r="D128" s="90">
        <f t="shared" si="7"/>
        <v>0</v>
      </c>
      <c r="E128" s="90">
        <f t="shared" si="7"/>
        <v>0</v>
      </c>
      <c r="F128" s="90">
        <f t="shared" si="10"/>
        <v>0.33600000000000002</v>
      </c>
      <c r="G128" s="90">
        <f t="shared" si="10"/>
        <v>0.33600000000000002</v>
      </c>
      <c r="H128" s="90">
        <f t="shared" si="9"/>
        <v>0.33600000000000002</v>
      </c>
    </row>
    <row r="129" spans="1:8" x14ac:dyDescent="0.25">
      <c r="B129" s="5" t="s">
        <v>6</v>
      </c>
      <c r="C129" s="5" t="s">
        <v>337</v>
      </c>
      <c r="D129" s="90">
        <f t="shared" si="7"/>
        <v>0</v>
      </c>
      <c r="E129" s="90">
        <f t="shared" si="7"/>
        <v>0</v>
      </c>
      <c r="F129" s="90">
        <f t="shared" si="10"/>
        <v>1</v>
      </c>
      <c r="G129" s="90">
        <f t="shared" si="10"/>
        <v>1</v>
      </c>
      <c r="H129" s="90">
        <f t="shared" si="9"/>
        <v>1</v>
      </c>
    </row>
    <row r="130" spans="1:8" x14ac:dyDescent="0.25">
      <c r="C130" s="5" t="s">
        <v>338</v>
      </c>
      <c r="D130" s="90">
        <f t="shared" si="7"/>
        <v>0</v>
      </c>
      <c r="E130" s="90">
        <f t="shared" si="7"/>
        <v>0</v>
      </c>
      <c r="F130" s="90">
        <f t="shared" si="10"/>
        <v>0.42000000000000004</v>
      </c>
      <c r="G130" s="90">
        <f t="shared" si="10"/>
        <v>0.42000000000000004</v>
      </c>
      <c r="H130" s="90">
        <f t="shared" si="9"/>
        <v>0.42000000000000004</v>
      </c>
    </row>
    <row r="131" spans="1:8" x14ac:dyDescent="0.25">
      <c r="A131" s="5" t="s">
        <v>173</v>
      </c>
      <c r="B131" s="5" t="s">
        <v>92</v>
      </c>
      <c r="C131" s="5" t="s">
        <v>337</v>
      </c>
      <c r="D131" s="90">
        <f t="shared" si="7"/>
        <v>1</v>
      </c>
      <c r="E131" s="90">
        <f t="shared" si="7"/>
        <v>0</v>
      </c>
      <c r="F131" s="90">
        <f t="shared" si="10"/>
        <v>0</v>
      </c>
      <c r="G131" s="90">
        <f t="shared" si="10"/>
        <v>0</v>
      </c>
      <c r="H131" s="90">
        <f t="shared" si="9"/>
        <v>0</v>
      </c>
    </row>
    <row r="132" spans="1:8" x14ac:dyDescent="0.25">
      <c r="C132" s="5" t="s">
        <v>339</v>
      </c>
      <c r="D132" s="90">
        <f t="shared" si="7"/>
        <v>0.13650000000000001</v>
      </c>
      <c r="E132" s="90">
        <f t="shared" si="7"/>
        <v>0</v>
      </c>
      <c r="F132" s="90">
        <f t="shared" si="10"/>
        <v>0</v>
      </c>
      <c r="G132" s="90">
        <f t="shared" si="10"/>
        <v>0</v>
      </c>
      <c r="H132" s="90">
        <f t="shared" si="9"/>
        <v>0</v>
      </c>
    </row>
    <row r="133" spans="1:8" x14ac:dyDescent="0.25">
      <c r="A133" s="5" t="s">
        <v>171</v>
      </c>
      <c r="B133" s="5" t="s">
        <v>92</v>
      </c>
      <c r="C133" s="5" t="s">
        <v>337</v>
      </c>
      <c r="D133" s="90">
        <f t="shared" ref="D133:E152" si="11">IF($C23="Affected fraction",D23,IF(D23=1,1,D23*1.05))</f>
        <v>1</v>
      </c>
      <c r="E133" s="90">
        <f t="shared" si="11"/>
        <v>0</v>
      </c>
      <c r="F133" s="90">
        <f t="shared" si="10"/>
        <v>0</v>
      </c>
      <c r="G133" s="90">
        <f t="shared" si="10"/>
        <v>0</v>
      </c>
      <c r="H133" s="90">
        <f t="shared" si="9"/>
        <v>0</v>
      </c>
    </row>
    <row r="134" spans="1:8" x14ac:dyDescent="0.25">
      <c r="C134" s="5" t="s">
        <v>339</v>
      </c>
      <c r="D134" s="90">
        <f t="shared" si="11"/>
        <v>0.13650000000000001</v>
      </c>
      <c r="E134" s="90">
        <f t="shared" si="11"/>
        <v>0</v>
      </c>
      <c r="F134" s="90">
        <f t="shared" si="10"/>
        <v>0</v>
      </c>
      <c r="G134" s="90">
        <f t="shared" si="10"/>
        <v>0</v>
      </c>
      <c r="H134" s="90">
        <f t="shared" si="9"/>
        <v>0</v>
      </c>
    </row>
    <row r="135" spans="1:8" x14ac:dyDescent="0.25">
      <c r="A135" s="5" t="s">
        <v>172</v>
      </c>
      <c r="B135" s="5" t="s">
        <v>92</v>
      </c>
      <c r="C135" s="5" t="s">
        <v>337</v>
      </c>
      <c r="D135" s="90">
        <f t="shared" si="11"/>
        <v>1</v>
      </c>
      <c r="E135" s="90">
        <f t="shared" si="11"/>
        <v>0</v>
      </c>
      <c r="F135" s="90">
        <f t="shared" si="10"/>
        <v>0</v>
      </c>
      <c r="G135" s="90">
        <f t="shared" si="10"/>
        <v>0</v>
      </c>
      <c r="H135" s="90">
        <f t="shared" si="9"/>
        <v>0</v>
      </c>
    </row>
    <row r="136" spans="1:8" x14ac:dyDescent="0.25">
      <c r="C136" s="5" t="s">
        <v>339</v>
      </c>
      <c r="D136" s="90">
        <f t="shared" si="11"/>
        <v>0.13650000000000001</v>
      </c>
      <c r="E136" s="90">
        <f t="shared" si="11"/>
        <v>0</v>
      </c>
      <c r="F136" s="90">
        <f t="shared" si="10"/>
        <v>0</v>
      </c>
      <c r="G136" s="90">
        <f t="shared" si="10"/>
        <v>0</v>
      </c>
      <c r="H136" s="90">
        <f t="shared" si="9"/>
        <v>0</v>
      </c>
    </row>
    <row r="137" spans="1:8" x14ac:dyDescent="0.25">
      <c r="A137" s="5" t="s">
        <v>200</v>
      </c>
      <c r="B137" s="5" t="s">
        <v>84</v>
      </c>
      <c r="C137" s="5" t="s">
        <v>337</v>
      </c>
      <c r="D137" s="90">
        <f t="shared" si="11"/>
        <v>1</v>
      </c>
      <c r="E137" s="90">
        <f t="shared" si="11"/>
        <v>1</v>
      </c>
      <c r="F137" s="90">
        <f t="shared" si="10"/>
        <v>1</v>
      </c>
      <c r="G137" s="90">
        <f t="shared" si="10"/>
        <v>1</v>
      </c>
      <c r="H137" s="90">
        <f t="shared" si="9"/>
        <v>1</v>
      </c>
    </row>
    <row r="138" spans="1:8" x14ac:dyDescent="0.25">
      <c r="C138" s="5" t="s">
        <v>339</v>
      </c>
      <c r="D138" s="90">
        <f t="shared" si="11"/>
        <v>0</v>
      </c>
      <c r="E138" s="90">
        <f t="shared" si="11"/>
        <v>0</v>
      </c>
      <c r="F138" s="90">
        <f t="shared" si="10"/>
        <v>0</v>
      </c>
      <c r="G138" s="90">
        <f t="shared" si="10"/>
        <v>0</v>
      </c>
      <c r="H138" s="90">
        <f t="shared" si="9"/>
        <v>0</v>
      </c>
    </row>
    <row r="139" spans="1:8" x14ac:dyDescent="0.25">
      <c r="C139" s="5" t="s">
        <v>338</v>
      </c>
      <c r="D139" s="90">
        <f t="shared" si="11"/>
        <v>0</v>
      </c>
      <c r="E139" s="90">
        <f t="shared" si="11"/>
        <v>0</v>
      </c>
      <c r="F139" s="90">
        <f t="shared" si="10"/>
        <v>0</v>
      </c>
      <c r="G139" s="90">
        <f t="shared" si="10"/>
        <v>0</v>
      </c>
      <c r="H139" s="90">
        <f t="shared" si="9"/>
        <v>0</v>
      </c>
    </row>
    <row r="140" spans="1:8" x14ac:dyDescent="0.25">
      <c r="A140" s="5" t="s">
        <v>201</v>
      </c>
      <c r="B140" s="5" t="s">
        <v>84</v>
      </c>
      <c r="C140" s="5" t="s">
        <v>337</v>
      </c>
      <c r="D140" s="90">
        <f t="shared" si="11"/>
        <v>1</v>
      </c>
      <c r="E140" s="90">
        <f t="shared" si="11"/>
        <v>1</v>
      </c>
      <c r="F140" s="90">
        <f t="shared" si="10"/>
        <v>1</v>
      </c>
      <c r="G140" s="90">
        <f t="shared" si="10"/>
        <v>1</v>
      </c>
      <c r="H140" s="90">
        <f t="shared" si="9"/>
        <v>1</v>
      </c>
    </row>
    <row r="141" spans="1:8" x14ac:dyDescent="0.25">
      <c r="C141" s="5" t="s">
        <v>339</v>
      </c>
      <c r="D141" s="90">
        <f t="shared" si="11"/>
        <v>0</v>
      </c>
      <c r="E141" s="90">
        <f t="shared" si="11"/>
        <v>0</v>
      </c>
      <c r="F141" s="90">
        <f t="shared" si="10"/>
        <v>0</v>
      </c>
      <c r="G141" s="90">
        <f t="shared" si="10"/>
        <v>0</v>
      </c>
      <c r="H141" s="90">
        <f t="shared" si="9"/>
        <v>0</v>
      </c>
    </row>
    <row r="142" spans="1:8" x14ac:dyDescent="0.25">
      <c r="C142" s="5" t="s">
        <v>338</v>
      </c>
      <c r="D142" s="90">
        <f t="shared" si="11"/>
        <v>0</v>
      </c>
      <c r="E142" s="90">
        <f t="shared" si="11"/>
        <v>0</v>
      </c>
      <c r="F142" s="90">
        <f t="shared" si="10"/>
        <v>0</v>
      </c>
      <c r="G142" s="90">
        <f t="shared" si="10"/>
        <v>0</v>
      </c>
      <c r="H142" s="90">
        <f t="shared" si="9"/>
        <v>0</v>
      </c>
    </row>
    <row r="143" spans="1:8" x14ac:dyDescent="0.25">
      <c r="A143" s="5" t="s">
        <v>199</v>
      </c>
      <c r="B143" s="5" t="s">
        <v>84</v>
      </c>
      <c r="C143" s="5" t="s">
        <v>337</v>
      </c>
      <c r="D143" s="90">
        <f t="shared" si="11"/>
        <v>1</v>
      </c>
      <c r="E143" s="90">
        <f t="shared" si="11"/>
        <v>1</v>
      </c>
      <c r="F143" s="90">
        <f t="shared" si="10"/>
        <v>1</v>
      </c>
      <c r="G143" s="90">
        <f t="shared" si="10"/>
        <v>1</v>
      </c>
      <c r="H143" s="90">
        <f t="shared" si="9"/>
        <v>1</v>
      </c>
    </row>
    <row r="144" spans="1:8" x14ac:dyDescent="0.25">
      <c r="C144" s="5" t="s">
        <v>339</v>
      </c>
      <c r="D144" s="90">
        <f t="shared" si="11"/>
        <v>0</v>
      </c>
      <c r="E144" s="90">
        <f t="shared" si="11"/>
        <v>0</v>
      </c>
      <c r="F144" s="90">
        <f t="shared" si="10"/>
        <v>0</v>
      </c>
      <c r="G144" s="90">
        <f t="shared" si="10"/>
        <v>0</v>
      </c>
      <c r="H144" s="90">
        <f t="shared" si="9"/>
        <v>0</v>
      </c>
    </row>
    <row r="145" spans="1:8" x14ac:dyDescent="0.25">
      <c r="C145" s="5" t="s">
        <v>338</v>
      </c>
      <c r="D145" s="90">
        <f t="shared" si="11"/>
        <v>0</v>
      </c>
      <c r="E145" s="90">
        <f t="shared" si="11"/>
        <v>0</v>
      </c>
      <c r="F145" s="90">
        <f t="shared" si="10"/>
        <v>0</v>
      </c>
      <c r="G145" s="90">
        <f t="shared" si="10"/>
        <v>0</v>
      </c>
      <c r="H145" s="90">
        <f t="shared" si="9"/>
        <v>0</v>
      </c>
    </row>
    <row r="146" spans="1:8" x14ac:dyDescent="0.25">
      <c r="A146" s="5" t="s">
        <v>198</v>
      </c>
      <c r="B146" s="5" t="s">
        <v>84</v>
      </c>
      <c r="C146" s="5" t="s">
        <v>337</v>
      </c>
      <c r="D146" s="90">
        <f t="shared" si="11"/>
        <v>1</v>
      </c>
      <c r="E146" s="90">
        <f t="shared" si="11"/>
        <v>1</v>
      </c>
      <c r="F146" s="90">
        <f t="shared" si="10"/>
        <v>1</v>
      </c>
      <c r="G146" s="90">
        <f t="shared" si="10"/>
        <v>1</v>
      </c>
      <c r="H146" s="90">
        <f t="shared" si="9"/>
        <v>1</v>
      </c>
    </row>
    <row r="147" spans="1:8" x14ac:dyDescent="0.25">
      <c r="C147" s="5" t="s">
        <v>339</v>
      </c>
      <c r="D147" s="90">
        <f t="shared" si="11"/>
        <v>0</v>
      </c>
      <c r="E147" s="90">
        <f t="shared" si="11"/>
        <v>0</v>
      </c>
      <c r="F147" s="90">
        <f t="shared" ref="F147:G163" si="12">IF($C37="Affected fraction",F37,IF(F37=1,1,F37*1.05))</f>
        <v>0</v>
      </c>
      <c r="G147" s="90">
        <f t="shared" si="12"/>
        <v>0</v>
      </c>
      <c r="H147" s="90">
        <f t="shared" si="9"/>
        <v>0</v>
      </c>
    </row>
    <row r="148" spans="1:8" x14ac:dyDescent="0.25">
      <c r="C148" s="5" t="s">
        <v>338</v>
      </c>
      <c r="D148" s="90">
        <f t="shared" si="11"/>
        <v>0</v>
      </c>
      <c r="E148" s="90">
        <f t="shared" si="11"/>
        <v>0</v>
      </c>
      <c r="F148" s="90">
        <f t="shared" si="12"/>
        <v>0</v>
      </c>
      <c r="G148" s="90">
        <f t="shared" si="12"/>
        <v>0</v>
      </c>
      <c r="H148" s="90">
        <f t="shared" si="9"/>
        <v>0</v>
      </c>
    </row>
    <row r="149" spans="1:8" x14ac:dyDescent="0.25">
      <c r="A149" s="5" t="s">
        <v>197</v>
      </c>
      <c r="B149" s="5" t="s">
        <v>84</v>
      </c>
      <c r="C149" s="5" t="s">
        <v>337</v>
      </c>
      <c r="D149" s="90">
        <f t="shared" si="11"/>
        <v>1</v>
      </c>
      <c r="E149" s="90">
        <f t="shared" si="11"/>
        <v>1</v>
      </c>
      <c r="F149" s="90">
        <f t="shared" si="12"/>
        <v>1</v>
      </c>
      <c r="G149" s="90">
        <f t="shared" si="12"/>
        <v>1</v>
      </c>
      <c r="H149" s="90">
        <f t="shared" si="9"/>
        <v>1</v>
      </c>
    </row>
    <row r="150" spans="1:8" x14ac:dyDescent="0.25">
      <c r="C150" s="5" t="s">
        <v>339</v>
      </c>
      <c r="D150" s="90">
        <f t="shared" si="11"/>
        <v>0</v>
      </c>
      <c r="E150" s="90">
        <f t="shared" si="11"/>
        <v>0</v>
      </c>
      <c r="F150" s="90">
        <f t="shared" si="12"/>
        <v>0</v>
      </c>
      <c r="G150" s="90">
        <f t="shared" si="12"/>
        <v>0</v>
      </c>
      <c r="H150" s="90">
        <f t="shared" si="9"/>
        <v>0</v>
      </c>
    </row>
    <row r="151" spans="1:8" x14ac:dyDescent="0.25">
      <c r="C151" s="5" t="s">
        <v>338</v>
      </c>
      <c r="D151" s="90">
        <f t="shared" si="11"/>
        <v>0</v>
      </c>
      <c r="E151" s="90">
        <f t="shared" si="11"/>
        <v>0</v>
      </c>
      <c r="F151" s="90">
        <f t="shared" si="12"/>
        <v>0</v>
      </c>
      <c r="G151" s="90">
        <f t="shared" si="12"/>
        <v>0</v>
      </c>
      <c r="H151" s="90">
        <f t="shared" si="9"/>
        <v>0</v>
      </c>
    </row>
    <row r="152" spans="1:8" x14ac:dyDescent="0.25">
      <c r="A152" s="5" t="s">
        <v>203</v>
      </c>
      <c r="B152" s="5" t="s">
        <v>84</v>
      </c>
      <c r="C152" s="5" t="s">
        <v>337</v>
      </c>
      <c r="D152" s="90">
        <f t="shared" si="11"/>
        <v>0</v>
      </c>
      <c r="E152" s="90">
        <f t="shared" si="11"/>
        <v>1</v>
      </c>
      <c r="F152" s="90">
        <f t="shared" si="12"/>
        <v>1</v>
      </c>
      <c r="G152" s="90">
        <f t="shared" si="12"/>
        <v>1</v>
      </c>
      <c r="H152" s="90">
        <f t="shared" si="9"/>
        <v>1</v>
      </c>
    </row>
    <row r="153" spans="1:8" x14ac:dyDescent="0.25">
      <c r="C153" s="5" t="s">
        <v>339</v>
      </c>
      <c r="D153" s="90">
        <f t="shared" ref="D153:E163" si="13">IF($C43="Affected fraction",D43,IF(D43=1,1,D43*1.05))</f>
        <v>0.99749999999999994</v>
      </c>
      <c r="E153" s="90">
        <f t="shared" si="13"/>
        <v>0.99749999999999994</v>
      </c>
      <c r="F153" s="90">
        <f t="shared" si="12"/>
        <v>0.99749999999999994</v>
      </c>
      <c r="G153" s="90">
        <f t="shared" si="12"/>
        <v>0.99749999999999994</v>
      </c>
      <c r="H153" s="90">
        <f t="shared" si="9"/>
        <v>0.99749999999999994</v>
      </c>
    </row>
    <row r="154" spans="1:8" x14ac:dyDescent="0.25">
      <c r="C154" s="5" t="s">
        <v>338</v>
      </c>
      <c r="D154" s="90">
        <f t="shared" si="13"/>
        <v>0.95550000000000013</v>
      </c>
      <c r="E154" s="90">
        <f t="shared" si="13"/>
        <v>0.95550000000000013</v>
      </c>
      <c r="F154" s="90">
        <f t="shared" si="12"/>
        <v>0.95550000000000013</v>
      </c>
      <c r="G154" s="90">
        <f t="shared" si="12"/>
        <v>0.95550000000000013</v>
      </c>
      <c r="H154" s="90">
        <f t="shared" si="9"/>
        <v>0.95550000000000013</v>
      </c>
    </row>
    <row r="155" spans="1:8" x14ac:dyDescent="0.25">
      <c r="B155" s="5" t="s">
        <v>102</v>
      </c>
      <c r="C155" s="5" t="s">
        <v>337</v>
      </c>
      <c r="D155" s="90">
        <f t="shared" si="13"/>
        <v>0.315</v>
      </c>
      <c r="E155" s="90">
        <f t="shared" si="13"/>
        <v>0.315</v>
      </c>
      <c r="F155" s="90">
        <f t="shared" si="12"/>
        <v>0.315</v>
      </c>
      <c r="G155" s="90">
        <f t="shared" si="12"/>
        <v>0.315</v>
      </c>
      <c r="H155" s="90">
        <f t="shared" si="9"/>
        <v>0.315</v>
      </c>
    </row>
    <row r="156" spans="1:8" x14ac:dyDescent="0.25">
      <c r="C156" s="5" t="s">
        <v>339</v>
      </c>
      <c r="D156" s="90">
        <f t="shared" si="13"/>
        <v>0</v>
      </c>
      <c r="E156" s="90">
        <f t="shared" si="13"/>
        <v>0</v>
      </c>
      <c r="F156" s="90">
        <f t="shared" si="12"/>
        <v>0</v>
      </c>
      <c r="G156" s="90">
        <f t="shared" si="12"/>
        <v>0</v>
      </c>
      <c r="H156" s="90">
        <f t="shared" si="9"/>
        <v>0</v>
      </c>
    </row>
    <row r="157" spans="1:8" x14ac:dyDescent="0.25">
      <c r="C157" s="5" t="s">
        <v>338</v>
      </c>
      <c r="D157" s="90">
        <f t="shared" si="13"/>
        <v>0</v>
      </c>
      <c r="E157" s="90">
        <f t="shared" si="13"/>
        <v>0</v>
      </c>
      <c r="F157" s="90">
        <f t="shared" si="12"/>
        <v>0</v>
      </c>
      <c r="G157" s="90">
        <f t="shared" si="12"/>
        <v>0</v>
      </c>
      <c r="H157" s="90">
        <f t="shared" si="9"/>
        <v>0</v>
      </c>
    </row>
    <row r="158" spans="1:8" x14ac:dyDescent="0.25">
      <c r="A158" s="5" t="s">
        <v>192</v>
      </c>
      <c r="B158" s="5" t="s">
        <v>84</v>
      </c>
      <c r="C158" s="5" t="s">
        <v>337</v>
      </c>
      <c r="D158" s="90">
        <f t="shared" si="13"/>
        <v>0.92400000000000004</v>
      </c>
      <c r="E158" s="90">
        <f t="shared" si="13"/>
        <v>0.92400000000000004</v>
      </c>
      <c r="F158" s="90">
        <f t="shared" si="12"/>
        <v>0.92400000000000004</v>
      </c>
      <c r="G158" s="90">
        <f t="shared" si="12"/>
        <v>0.92400000000000004</v>
      </c>
      <c r="H158" s="90">
        <f t="shared" si="9"/>
        <v>0.92400000000000004</v>
      </c>
    </row>
    <row r="159" spans="1:8" x14ac:dyDescent="0.25">
      <c r="C159" s="5" t="s">
        <v>339</v>
      </c>
      <c r="D159" s="90">
        <f t="shared" si="13"/>
        <v>0.8232954545454545</v>
      </c>
      <c r="E159" s="90">
        <f t="shared" si="13"/>
        <v>0.8232954545454545</v>
      </c>
      <c r="F159" s="90">
        <f t="shared" si="12"/>
        <v>0.8232954545454545</v>
      </c>
      <c r="G159" s="90">
        <f t="shared" si="12"/>
        <v>0.8232954545454545</v>
      </c>
      <c r="H159" s="90">
        <f t="shared" si="9"/>
        <v>0.8232954545454545</v>
      </c>
    </row>
    <row r="160" spans="1:8" x14ac:dyDescent="0.25">
      <c r="A160" s="5" t="s">
        <v>202</v>
      </c>
      <c r="B160" s="5" t="s">
        <v>84</v>
      </c>
      <c r="C160" s="5" t="s">
        <v>337</v>
      </c>
      <c r="D160" s="90">
        <f t="shared" si="13"/>
        <v>1</v>
      </c>
      <c r="E160" s="90">
        <f t="shared" si="13"/>
        <v>1</v>
      </c>
      <c r="F160" s="90">
        <f t="shared" si="12"/>
        <v>1</v>
      </c>
      <c r="G160" s="90">
        <f t="shared" si="12"/>
        <v>1</v>
      </c>
      <c r="H160" s="90">
        <f t="shared" si="9"/>
        <v>1</v>
      </c>
    </row>
    <row r="161" spans="1:8" x14ac:dyDescent="0.25">
      <c r="C161" s="5" t="s">
        <v>339</v>
      </c>
      <c r="D161" s="90">
        <f t="shared" si="13"/>
        <v>0.79800000000000004</v>
      </c>
      <c r="E161" s="90">
        <f t="shared" si="13"/>
        <v>0.79800000000000004</v>
      </c>
      <c r="F161" s="90">
        <f t="shared" si="12"/>
        <v>0.79800000000000004</v>
      </c>
      <c r="G161" s="90">
        <f t="shared" si="12"/>
        <v>0.79800000000000004</v>
      </c>
      <c r="H161" s="90">
        <f t="shared" si="9"/>
        <v>0.79800000000000004</v>
      </c>
    </row>
    <row r="162" spans="1:8" x14ac:dyDescent="0.25">
      <c r="A162" s="5" t="s">
        <v>182</v>
      </c>
      <c r="B162" s="5" t="s">
        <v>96</v>
      </c>
      <c r="C162" s="5" t="s">
        <v>337</v>
      </c>
      <c r="D162" s="90">
        <f t="shared" si="13"/>
        <v>0.60899999999999999</v>
      </c>
      <c r="E162" s="90">
        <f t="shared" si="13"/>
        <v>0.60899999999999999</v>
      </c>
      <c r="F162" s="90">
        <f t="shared" si="12"/>
        <v>0</v>
      </c>
      <c r="G162" s="90">
        <f t="shared" si="12"/>
        <v>0</v>
      </c>
      <c r="H162" s="90">
        <f t="shared" si="9"/>
        <v>0</v>
      </c>
    </row>
    <row r="163" spans="1:8" x14ac:dyDescent="0.25">
      <c r="C163" s="5" t="s">
        <v>339</v>
      </c>
      <c r="D163" s="90">
        <f t="shared" si="13"/>
        <v>0.53550000000000009</v>
      </c>
      <c r="E163" s="90">
        <f t="shared" si="13"/>
        <v>0.53550000000000009</v>
      </c>
      <c r="F163" s="90">
        <f t="shared" si="12"/>
        <v>0</v>
      </c>
      <c r="G163" s="90">
        <f t="shared" si="12"/>
        <v>0</v>
      </c>
      <c r="H163" s="90">
        <f t="shared" si="9"/>
        <v>0</v>
      </c>
    </row>
  </sheetData>
  <sheetProtection algorithmName="SHA-512" hashValue="Gl7nSCvymBBFeFrFiDPSBk37p/R7vWYKkDMXRmIwq2zu2oxQLwC6406hiBYBQuG0fFX0bpI8SXJhQRe/ngCwVg==" saltValue="WZK0pTr+nNP20w5kGiSZC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0" zoomScaleNormal="80" workbookViewId="0">
      <selection activeCell="D12" sqref="D1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x14ac:dyDescent="0.25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0.17</v>
      </c>
      <c r="E3" s="90">
        <v>0.17</v>
      </c>
      <c r="F3" s="90">
        <v>0.17</v>
      </c>
      <c r="G3" s="90">
        <v>0.17</v>
      </c>
      <c r="H3" s="3"/>
    </row>
    <row r="4" spans="1:8" x14ac:dyDescent="0.25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ht="13" customHeight="1" x14ac:dyDescent="0.3">
      <c r="A9" s="92" t="s">
        <v>329</v>
      </c>
    </row>
    <row r="10" spans="1:8" ht="13" customHeight="1" x14ac:dyDescent="0.3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x14ac:dyDescent="0.25">
      <c r="A11" s="3" t="s">
        <v>166</v>
      </c>
      <c r="B11" s="8" t="s">
        <v>86</v>
      </c>
      <c r="C11" s="3" t="s">
        <v>337</v>
      </c>
      <c r="D11" s="90">
        <f t="shared" ref="D11:G16" si="0">IF($C2="Affected fraction",D2,IF(D2=1,1,D2*0.9))</f>
        <v>1</v>
      </c>
      <c r="E11" s="90">
        <f t="shared" si="0"/>
        <v>1</v>
      </c>
      <c r="F11" s="90">
        <f t="shared" si="0"/>
        <v>1</v>
      </c>
      <c r="G11" s="90">
        <f t="shared" si="0"/>
        <v>1</v>
      </c>
    </row>
    <row r="12" spans="1:8" x14ac:dyDescent="0.25">
      <c r="C12" s="8" t="s">
        <v>339</v>
      </c>
      <c r="D12" s="90">
        <f t="shared" si="0"/>
        <v>0.15300000000000002</v>
      </c>
      <c r="E12" s="90">
        <f t="shared" si="0"/>
        <v>0.15300000000000002</v>
      </c>
      <c r="F12" s="90">
        <f t="shared" si="0"/>
        <v>0.15300000000000002</v>
      </c>
      <c r="G12" s="90">
        <f t="shared" si="0"/>
        <v>0.15300000000000002</v>
      </c>
    </row>
    <row r="13" spans="1:8" x14ac:dyDescent="0.25">
      <c r="A13" s="3" t="s">
        <v>189</v>
      </c>
      <c r="B13" s="8" t="s">
        <v>86</v>
      </c>
      <c r="C13" s="3" t="s">
        <v>337</v>
      </c>
      <c r="D13" s="90">
        <f t="shared" si="0"/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188</v>
      </c>
      <c r="B15" s="8" t="s">
        <v>86</v>
      </c>
      <c r="C15" s="3" t="s">
        <v>337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ht="13" customHeight="1" x14ac:dyDescent="0.3">
      <c r="A18" s="92" t="s">
        <v>336</v>
      </c>
    </row>
    <row r="19" spans="1:7" ht="13" customHeight="1" x14ac:dyDescent="0.3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x14ac:dyDescent="0.25">
      <c r="A20" s="3" t="s">
        <v>166</v>
      </c>
      <c r="B20" s="8" t="s">
        <v>86</v>
      </c>
      <c r="C20" s="3" t="s">
        <v>337</v>
      </c>
      <c r="D20" s="90">
        <f t="shared" ref="D20:G25" si="1">IF($C2="Affected fraction",D2,IF(D2=1,1,D2*1.05))</f>
        <v>1</v>
      </c>
      <c r="E20" s="90">
        <f t="shared" si="1"/>
        <v>1</v>
      </c>
      <c r="F20" s="90">
        <f t="shared" si="1"/>
        <v>1</v>
      </c>
      <c r="G20" s="90">
        <f t="shared" si="1"/>
        <v>1</v>
      </c>
    </row>
    <row r="21" spans="1:7" x14ac:dyDescent="0.25">
      <c r="C21" s="8" t="s">
        <v>339</v>
      </c>
      <c r="D21" s="90">
        <f t="shared" si="1"/>
        <v>0.17850000000000002</v>
      </c>
      <c r="E21" s="90">
        <f t="shared" si="1"/>
        <v>0.17850000000000002</v>
      </c>
      <c r="F21" s="90">
        <f t="shared" si="1"/>
        <v>0.17850000000000002</v>
      </c>
      <c r="G21" s="90">
        <f t="shared" si="1"/>
        <v>0.17850000000000002</v>
      </c>
    </row>
    <row r="22" spans="1:7" x14ac:dyDescent="0.25">
      <c r="A22" s="3" t="s">
        <v>189</v>
      </c>
      <c r="B22" s="8" t="s">
        <v>86</v>
      </c>
      <c r="C22" s="3" t="s">
        <v>337</v>
      </c>
      <c r="D22" s="90">
        <f t="shared" si="1"/>
        <v>1</v>
      </c>
      <c r="E22" s="90">
        <f t="shared" si="1"/>
        <v>1</v>
      </c>
      <c r="F22" s="90">
        <f t="shared" si="1"/>
        <v>1</v>
      </c>
      <c r="G22" s="90">
        <f t="shared" si="1"/>
        <v>1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188</v>
      </c>
      <c r="B24" s="8" t="s">
        <v>86</v>
      </c>
      <c r="C24" s="3" t="s">
        <v>337</v>
      </c>
      <c r="D24" s="90">
        <f t="shared" si="1"/>
        <v>1</v>
      </c>
      <c r="E24" s="90">
        <f t="shared" si="1"/>
        <v>1</v>
      </c>
      <c r="F24" s="90">
        <f t="shared" si="1"/>
        <v>1</v>
      </c>
      <c r="G24" s="90">
        <f t="shared" si="1"/>
        <v>1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3KpPJAf2f3RKCL+itALw/aeR8Hey7kyWs63ghkaCyLlUHSkpX4/zv73QCsXIRipoZ3Ab87vVcJ7ZxIuV149Mcg==" saltValue="goaYwLlvRf7sCaEez1bgwA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3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5">
      <c r="B3" s="19" t="s">
        <v>93</v>
      </c>
      <c r="C3" s="55">
        <v>8.1432633319155259E-3</v>
      </c>
    </row>
    <row r="4" spans="1:8" ht="15.75" customHeight="1" x14ac:dyDescent="0.25">
      <c r="B4" s="19" t="s">
        <v>97</v>
      </c>
      <c r="C4" s="101">
        <v>0.12976204685914461</v>
      </c>
    </row>
    <row r="5" spans="1:8" ht="15.75" customHeight="1" x14ac:dyDescent="0.25">
      <c r="B5" s="19" t="s">
        <v>95</v>
      </c>
      <c r="C5" s="101">
        <v>7.7865012384755711E-2</v>
      </c>
    </row>
    <row r="6" spans="1:8" ht="15.75" customHeight="1" x14ac:dyDescent="0.25">
      <c r="B6" s="19" t="s">
        <v>91</v>
      </c>
      <c r="C6" s="101">
        <v>0.31596497329182399</v>
      </c>
    </row>
    <row r="7" spans="1:8" ht="15.75" customHeight="1" x14ac:dyDescent="0.25">
      <c r="B7" s="19" t="s">
        <v>96</v>
      </c>
      <c r="C7" s="101">
        <v>0.30968754452631331</v>
      </c>
    </row>
    <row r="8" spans="1:8" ht="15.75" customHeight="1" x14ac:dyDescent="0.25">
      <c r="B8" s="19" t="s">
        <v>98</v>
      </c>
      <c r="C8" s="101">
        <v>2.6987395994716251E-2</v>
      </c>
    </row>
    <row r="9" spans="1:8" ht="15.75" customHeight="1" x14ac:dyDescent="0.25">
      <c r="B9" s="19" t="s">
        <v>92</v>
      </c>
      <c r="C9" s="101">
        <v>6.4952087484845364E-2</v>
      </c>
    </row>
    <row r="10" spans="1:8" ht="15.75" customHeight="1" x14ac:dyDescent="0.25">
      <c r="B10" s="19" t="s">
        <v>94</v>
      </c>
      <c r="C10" s="101">
        <v>6.6637676126485385E-2</v>
      </c>
    </row>
    <row r="11" spans="1:8" ht="15.75" customHeight="1" x14ac:dyDescent="0.25">
      <c r="B11" s="27" t="s">
        <v>60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83</v>
      </c>
      <c r="B13" s="29" t="s">
        <v>82</v>
      </c>
      <c r="C13" s="102" t="s">
        <v>74</v>
      </c>
      <c r="D13" s="102" t="s">
        <v>77</v>
      </c>
      <c r="E13" s="102" t="s">
        <v>75</v>
      </c>
      <c r="F13" s="102" t="s">
        <v>76</v>
      </c>
      <c r="G13" s="19"/>
    </row>
    <row r="14" spans="1:8" ht="15.75" customHeight="1" x14ac:dyDescent="0.25">
      <c r="B14" s="19" t="s">
        <v>84</v>
      </c>
      <c r="C14" s="55">
        <v>0.15662695285906589</v>
      </c>
      <c r="D14" s="55">
        <v>0.15662695285906589</v>
      </c>
      <c r="E14" s="55">
        <v>0.15662695285906589</v>
      </c>
      <c r="F14" s="55">
        <v>0.15662695285906589</v>
      </c>
    </row>
    <row r="15" spans="1:8" ht="15.75" customHeight="1" x14ac:dyDescent="0.25">
      <c r="B15" s="19" t="s">
        <v>102</v>
      </c>
      <c r="C15" s="101">
        <v>0.24622816989591451</v>
      </c>
      <c r="D15" s="101">
        <v>0.24622816989591451</v>
      </c>
      <c r="E15" s="101">
        <v>0.24622816989591451</v>
      </c>
      <c r="F15" s="101">
        <v>0.24622816989591451</v>
      </c>
    </row>
    <row r="16" spans="1:8" ht="15.75" customHeight="1" x14ac:dyDescent="0.25">
      <c r="B16" s="19" t="s">
        <v>2</v>
      </c>
      <c r="C16" s="101">
        <v>4.7439522746979892E-2</v>
      </c>
      <c r="D16" s="101">
        <v>4.7439522746979892E-2</v>
      </c>
      <c r="E16" s="101">
        <v>4.7439522746979892E-2</v>
      </c>
      <c r="F16" s="101">
        <v>4.7439522746979892E-2</v>
      </c>
    </row>
    <row r="17" spans="1:8" ht="15.75" customHeight="1" x14ac:dyDescent="0.25">
      <c r="B17" s="19" t="s">
        <v>90</v>
      </c>
      <c r="C17" s="101">
        <v>2.432634959063423E-2</v>
      </c>
      <c r="D17" s="101">
        <v>2.432634959063423E-2</v>
      </c>
      <c r="E17" s="101">
        <v>2.432634959063423E-2</v>
      </c>
      <c r="F17" s="101">
        <v>2.432634959063423E-2</v>
      </c>
    </row>
    <row r="18" spans="1:8" ht="15.75" customHeight="1" x14ac:dyDescent="0.25">
      <c r="B18" s="19" t="s">
        <v>3</v>
      </c>
      <c r="C18" s="101">
        <v>0.1502694392618322</v>
      </c>
      <c r="D18" s="101">
        <v>0.1502694392618322</v>
      </c>
      <c r="E18" s="101">
        <v>0.1502694392618322</v>
      </c>
      <c r="F18" s="101">
        <v>0.1502694392618322</v>
      </c>
    </row>
    <row r="19" spans="1:8" ht="15.75" customHeight="1" x14ac:dyDescent="0.25">
      <c r="B19" s="19" t="s">
        <v>101</v>
      </c>
      <c r="C19" s="101">
        <v>1.7924203807020429E-2</v>
      </c>
      <c r="D19" s="101">
        <v>1.7924203807020429E-2</v>
      </c>
      <c r="E19" s="101">
        <v>1.7924203807020429E-2</v>
      </c>
      <c r="F19" s="101">
        <v>1.7924203807020429E-2</v>
      </c>
    </row>
    <row r="20" spans="1:8" ht="15.75" customHeight="1" x14ac:dyDescent="0.25">
      <c r="B20" s="19" t="s">
        <v>79</v>
      </c>
      <c r="C20" s="101">
        <v>1.8584359136878791E-2</v>
      </c>
      <c r="D20" s="101">
        <v>1.8584359136878791E-2</v>
      </c>
      <c r="E20" s="101">
        <v>1.8584359136878791E-2</v>
      </c>
      <c r="F20" s="101">
        <v>1.8584359136878791E-2</v>
      </c>
    </row>
    <row r="21" spans="1:8" ht="15.75" customHeight="1" x14ac:dyDescent="0.25">
      <c r="B21" s="19" t="s">
        <v>88</v>
      </c>
      <c r="C21" s="101">
        <v>7.9453353256657089E-2</v>
      </c>
      <c r="D21" s="101">
        <v>7.9453353256657089E-2</v>
      </c>
      <c r="E21" s="101">
        <v>7.9453353256657089E-2</v>
      </c>
      <c r="F21" s="101">
        <v>7.9453353256657089E-2</v>
      </c>
    </row>
    <row r="22" spans="1:8" ht="15.75" customHeight="1" x14ac:dyDescent="0.25">
      <c r="B22" s="19" t="s">
        <v>99</v>
      </c>
      <c r="C22" s="101">
        <v>0.25914764944501711</v>
      </c>
      <c r="D22" s="101">
        <v>0.25914764944501711</v>
      </c>
      <c r="E22" s="101">
        <v>0.25914764944501711</v>
      </c>
      <c r="F22" s="101">
        <v>0.25914764944501711</v>
      </c>
    </row>
    <row r="23" spans="1:8" ht="15.75" customHeight="1" x14ac:dyDescent="0.25">
      <c r="B23" s="27" t="s">
        <v>60</v>
      </c>
      <c r="C23" s="48">
        <f>SUM(C14:C22)</f>
        <v>1.0000000000000002</v>
      </c>
      <c r="D23" s="48">
        <f>SUM(D14:D22)</f>
        <v>1.0000000000000002</v>
      </c>
      <c r="E23" s="48">
        <f>SUM(E14:E22)</f>
        <v>1.0000000000000002</v>
      </c>
      <c r="F23" s="48">
        <f>SUM(F14:F22)</f>
        <v>1.0000000000000002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5">
      <c r="B26" s="19" t="s">
        <v>81</v>
      </c>
      <c r="C26" s="55">
        <v>8.6847340999999995E-2</v>
      </c>
    </row>
    <row r="27" spans="1:8" ht="15.75" customHeight="1" x14ac:dyDescent="0.25">
      <c r="B27" s="19" t="s">
        <v>89</v>
      </c>
      <c r="C27" s="101">
        <v>8.4805239999999997E-3</v>
      </c>
    </row>
    <row r="28" spans="1:8" ht="15.75" customHeight="1" x14ac:dyDescent="0.25">
      <c r="B28" s="19" t="s">
        <v>103</v>
      </c>
      <c r="C28" s="101">
        <v>0.15529126400000001</v>
      </c>
    </row>
    <row r="29" spans="1:8" ht="15.75" customHeight="1" x14ac:dyDescent="0.25">
      <c r="B29" s="19" t="s">
        <v>86</v>
      </c>
      <c r="C29" s="101">
        <v>0.168382743</v>
      </c>
    </row>
    <row r="30" spans="1:8" ht="15.75" customHeight="1" x14ac:dyDescent="0.25">
      <c r="B30" s="19" t="s">
        <v>4</v>
      </c>
      <c r="C30" s="101">
        <v>0.105182391</v>
      </c>
    </row>
    <row r="31" spans="1:8" ht="15.75" customHeight="1" x14ac:dyDescent="0.25">
      <c r="B31" s="19" t="s">
        <v>80</v>
      </c>
      <c r="C31" s="101">
        <v>0.10869061100000001</v>
      </c>
    </row>
    <row r="32" spans="1:8" ht="15.75" customHeight="1" x14ac:dyDescent="0.25">
      <c r="B32" s="19" t="s">
        <v>85</v>
      </c>
      <c r="C32" s="101">
        <v>1.8206013E-2</v>
      </c>
    </row>
    <row r="33" spans="2:3" ht="15.75" customHeight="1" x14ac:dyDescent="0.25">
      <c r="B33" s="19" t="s">
        <v>100</v>
      </c>
      <c r="C33" s="101">
        <v>8.4055170999999984E-2</v>
      </c>
    </row>
    <row r="34" spans="2:3" ht="15.75" customHeight="1" x14ac:dyDescent="0.25">
      <c r="B34" s="19" t="s">
        <v>87</v>
      </c>
      <c r="C34" s="101">
        <v>0.26486394200000002</v>
      </c>
    </row>
    <row r="35" spans="2:3" ht="15.75" customHeight="1" x14ac:dyDescent="0.25">
      <c r="B35" s="27" t="s">
        <v>60</v>
      </c>
      <c r="C35" s="48">
        <f>SUM(C26:C34)</f>
        <v>1</v>
      </c>
    </row>
  </sheetData>
  <sheetProtection algorithmName="SHA-512" hashValue="JZ1uoJuzWoFflvybbK3FUf75X1r5Yu5jWX03t9Tw0N9Gt808wbF3/yLjnml0M0Ga15cQKWiey+BjKjabVzjL4w==" saltValue="dcMJBYsPbUW+S7wMXHNhQ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5">
      <c r="A2" s="3" t="s">
        <v>121</v>
      </c>
      <c r="B2" s="5" t="s">
        <v>111</v>
      </c>
      <c r="C2" s="52">
        <f>IFERROR(1-_xlfn.NORM.DIST(_xlfn.NORM.INV(SUM(C4:C5), 0, 1) + 1, 0, 1, TRUE), "")</f>
        <v>0.45762340295951376</v>
      </c>
      <c r="D2" s="52">
        <f>IFERROR(1-_xlfn.NORM.DIST(_xlfn.NORM.INV(SUM(D4:D5), 0, 1) + 1, 0, 1, TRUE), "")</f>
        <v>0.45762340295951376</v>
      </c>
      <c r="E2" s="52">
        <f>IFERROR(1-_xlfn.NORM.DIST(_xlfn.NORM.INV(SUM(E4:E5), 0, 1) + 1, 0, 1, TRUE), "")</f>
        <v>0.39273773179801696</v>
      </c>
      <c r="F2" s="52">
        <f>IFERROR(1-_xlfn.NORM.DIST(_xlfn.NORM.INV(SUM(F4:F5), 0, 1) + 1, 0, 1, TRUE), "")</f>
        <v>0.238653245936984</v>
      </c>
      <c r="G2" s="52">
        <f>IFERROR(1-_xlfn.NORM.DIST(_xlfn.NORM.INV(SUM(G4:G5), 0, 1) + 1, 0, 1, TRUE), "")</f>
        <v>0.21596854306104141</v>
      </c>
    </row>
    <row r="3" spans="1:15" ht="15.75" customHeight="1" x14ac:dyDescent="0.25">
      <c r="B3" s="5" t="s">
        <v>108</v>
      </c>
      <c r="C3" s="52">
        <f>IFERROR(_xlfn.NORM.DIST(_xlfn.NORM.INV(SUM(C4:C5), 0, 1) + 1, 0, 1, TRUE) - SUM(C4:C5), "")</f>
        <v>0.35660248904048625</v>
      </c>
      <c r="D3" s="52">
        <f>IFERROR(_xlfn.NORM.DIST(_xlfn.NORM.INV(SUM(D4:D5), 0, 1) + 1, 0, 1, TRUE) - SUM(D4:D5), "")</f>
        <v>0.35660248904048625</v>
      </c>
      <c r="E3" s="52">
        <f>IFERROR(_xlfn.NORM.DIST(_xlfn.NORM.INV(SUM(E4:E5), 0, 1) + 1, 0, 1, TRUE) - SUM(E4:E5), "")</f>
        <v>0.37389713120198304</v>
      </c>
      <c r="F3" s="52">
        <f>IFERROR(_xlfn.NORM.DIST(_xlfn.NORM.INV(SUM(F4:F5), 0, 1) + 1, 0, 1, TRUE) - SUM(F4:F5), "")</f>
        <v>0.375193274063016</v>
      </c>
      <c r="G3" s="52">
        <f>IFERROR(_xlfn.NORM.DIST(_xlfn.NORM.INV(SUM(G4:G5), 0, 1) + 1, 0, 1, TRUE) - SUM(G4:G5), "")</f>
        <v>0.36880424693895864</v>
      </c>
    </row>
    <row r="4" spans="1:15" ht="15.75" customHeight="1" x14ac:dyDescent="0.25">
      <c r="B4" s="5" t="s">
        <v>110</v>
      </c>
      <c r="C4" s="45">
        <v>0.12186411</v>
      </c>
      <c r="D4" s="53">
        <v>0.12186411</v>
      </c>
      <c r="E4" s="53">
        <v>0.15877978000000001</v>
      </c>
      <c r="F4" s="53">
        <v>0.22776905</v>
      </c>
      <c r="G4" s="53">
        <v>0.20568164999999999</v>
      </c>
    </row>
    <row r="5" spans="1:15" ht="15.75" customHeight="1" x14ac:dyDescent="0.25">
      <c r="B5" s="5" t="s">
        <v>106</v>
      </c>
      <c r="C5" s="45">
        <v>6.390999800000001E-2</v>
      </c>
      <c r="D5" s="53">
        <v>6.390999800000001E-2</v>
      </c>
      <c r="E5" s="53">
        <v>7.4585356999999991E-2</v>
      </c>
      <c r="F5" s="53">
        <v>0.15838442999999999</v>
      </c>
      <c r="G5" s="53">
        <v>0.20954555999999999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122</v>
      </c>
      <c r="B8" s="5" t="s">
        <v>112</v>
      </c>
      <c r="C8" s="52">
        <f>IFERROR(1-_xlfn.NORM.DIST(_xlfn.NORM.INV(SUM(C10:C11), 0, 1) + 1, 0, 1, TRUE), "")</f>
        <v>0.68185468461854504</v>
      </c>
      <c r="D8" s="52">
        <f>IFERROR(1-_xlfn.NORM.DIST(_xlfn.NORM.INV(SUM(D10:D11), 0, 1) + 1, 0, 1, TRUE), "")</f>
        <v>0.68185468461854504</v>
      </c>
      <c r="E8" s="52">
        <f>IFERROR(1-_xlfn.NORM.DIST(_xlfn.NORM.INV(SUM(E10:E11), 0, 1) + 1, 0, 1, TRUE), "")</f>
        <v>0.53847791681949908</v>
      </c>
      <c r="F8" s="52">
        <f>IFERROR(1-_xlfn.NORM.DIST(_xlfn.NORM.INV(SUM(F10:F11), 0, 1) + 1, 0, 1, TRUE), "")</f>
        <v>0.58750905329585978</v>
      </c>
      <c r="G8" s="52">
        <f>IFERROR(1-_xlfn.NORM.DIST(_xlfn.NORM.INV(SUM(G10:G11), 0, 1) + 1, 0, 1, TRUE), "")</f>
        <v>0.77189097933177753</v>
      </c>
    </row>
    <row r="9" spans="1:15" ht="15.75" customHeight="1" x14ac:dyDescent="0.25">
      <c r="B9" s="5" t="s">
        <v>109</v>
      </c>
      <c r="C9" s="52">
        <f>IFERROR(_xlfn.NORM.DIST(_xlfn.NORM.INV(SUM(C10:C11), 0, 1) + 1, 0, 1, TRUE) - SUM(C10:C11), "")</f>
        <v>0.24775516038145495</v>
      </c>
      <c r="D9" s="52">
        <f>IFERROR(_xlfn.NORM.DIST(_xlfn.NORM.INV(SUM(D10:D11), 0, 1) + 1, 0, 1, TRUE) - SUM(D10:D11), "")</f>
        <v>0.24775516038145495</v>
      </c>
      <c r="E9" s="52">
        <f>IFERROR(_xlfn.NORM.DIST(_xlfn.NORM.INV(SUM(E10:E11), 0, 1) + 1, 0, 1, TRUE) - SUM(E10:E11), "")</f>
        <v>0.32511390918050093</v>
      </c>
      <c r="F9" s="52">
        <f>IFERROR(_xlfn.NORM.DIST(_xlfn.NORM.INV(SUM(F10:F11), 0, 1) + 1, 0, 1, TRUE) - SUM(F10:F11), "")</f>
        <v>0.30147481070414017</v>
      </c>
      <c r="G9" s="52">
        <f>IFERROR(_xlfn.NORM.DIST(_xlfn.NORM.INV(SUM(G10:G11), 0, 1) + 1, 0, 1, TRUE) - SUM(G10:G11), "")</f>
        <v>0.18762431396822243</v>
      </c>
    </row>
    <row r="10" spans="1:15" ht="15.75" customHeight="1" x14ac:dyDescent="0.25">
      <c r="B10" s="5" t="s">
        <v>107</v>
      </c>
      <c r="C10" s="45">
        <v>4.6751927999999998E-2</v>
      </c>
      <c r="D10" s="53">
        <v>4.6751927999999998E-2</v>
      </c>
      <c r="E10" s="53">
        <v>0.10321615000000001</v>
      </c>
      <c r="F10" s="53">
        <v>7.7771478000000005E-2</v>
      </c>
      <c r="G10" s="53">
        <v>3.1628560999999999E-2</v>
      </c>
    </row>
    <row r="11" spans="1:15" ht="15.75" customHeight="1" x14ac:dyDescent="0.25">
      <c r="B11" s="5" t="s">
        <v>119</v>
      </c>
      <c r="C11" s="45">
        <v>2.3638227000000001E-2</v>
      </c>
      <c r="D11" s="53">
        <v>2.3638227000000001E-2</v>
      </c>
      <c r="E11" s="53">
        <v>3.3192024000000001E-2</v>
      </c>
      <c r="F11" s="53">
        <v>3.3244658000000003E-2</v>
      </c>
      <c r="G11" s="53">
        <v>8.8561457E-3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5">
      <c r="B14" s="11" t="s">
        <v>117</v>
      </c>
      <c r="C14" s="51">
        <v>0.83953369649999998</v>
      </c>
      <c r="D14" s="54">
        <v>0.82410223475900002</v>
      </c>
      <c r="E14" s="54">
        <v>0.82410223475900002</v>
      </c>
      <c r="F14" s="54">
        <v>0.68824316440900002</v>
      </c>
      <c r="G14" s="54">
        <v>0.68824316440900002</v>
      </c>
      <c r="H14" s="45">
        <v>0.57799999999999996</v>
      </c>
      <c r="I14" s="55">
        <v>0.57799999999999996</v>
      </c>
      <c r="J14" s="55">
        <v>0.57799999999999996</v>
      </c>
      <c r="K14" s="55">
        <v>0.57799999999999996</v>
      </c>
      <c r="L14" s="45">
        <v>0.48799999999999999</v>
      </c>
      <c r="M14" s="55">
        <v>0.48799999999999999</v>
      </c>
      <c r="N14" s="55">
        <v>0.48799999999999999</v>
      </c>
      <c r="O14" s="55">
        <v>0.48799999999999999</v>
      </c>
    </row>
    <row r="15" spans="1:15" ht="15.75" customHeight="1" x14ac:dyDescent="0.25">
      <c r="B15" s="11" t="s">
        <v>118</v>
      </c>
      <c r="C15" s="52">
        <f t="shared" ref="C15:O15" si="0">iron_deficiency_anaemia*C14</f>
        <v>0.35206181376206097</v>
      </c>
      <c r="D15" s="52">
        <f t="shared" si="0"/>
        <v>0.34559056855512571</v>
      </c>
      <c r="E15" s="52">
        <f t="shared" si="0"/>
        <v>0.34559056855512571</v>
      </c>
      <c r="F15" s="52">
        <f t="shared" si="0"/>
        <v>0.28861752396757179</v>
      </c>
      <c r="G15" s="52">
        <f t="shared" si="0"/>
        <v>0.28861752396757179</v>
      </c>
      <c r="H15" s="52">
        <f t="shared" si="0"/>
        <v>0.24238661199999997</v>
      </c>
      <c r="I15" s="52">
        <f t="shared" si="0"/>
        <v>0.24238661199999997</v>
      </c>
      <c r="J15" s="52">
        <f t="shared" si="0"/>
        <v>0.24238661199999997</v>
      </c>
      <c r="K15" s="52">
        <f t="shared" si="0"/>
        <v>0.24238661199999997</v>
      </c>
      <c r="L15" s="52">
        <f t="shared" si="0"/>
        <v>0.20464475199999999</v>
      </c>
      <c r="M15" s="52">
        <f t="shared" si="0"/>
        <v>0.20464475199999999</v>
      </c>
      <c r="N15" s="52">
        <f t="shared" si="0"/>
        <v>0.20464475199999999</v>
      </c>
      <c r="O15" s="52">
        <f t="shared" si="0"/>
        <v>0.20464475199999999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8dqK+PXtuqd344GRtb4wr8a4Lv7OlqiOylKfjX26tFjxicvSveIsqQs2Z2g2aSdEjagpO+7VTms/M4S9Agb6SQ==" saltValue="f4NcCVdoy95jz981Zgr8Z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5">
      <c r="A2" s="3" t="s">
        <v>123</v>
      </c>
      <c r="B2" s="3" t="s">
        <v>124</v>
      </c>
      <c r="C2" s="45">
        <v>0.38865440000000001</v>
      </c>
      <c r="D2" s="53">
        <v>0.26556879999999999</v>
      </c>
      <c r="E2" s="53"/>
      <c r="F2" s="53"/>
      <c r="G2" s="53"/>
    </row>
    <row r="3" spans="1:7" x14ac:dyDescent="0.25">
      <c r="B3" s="3" t="s">
        <v>127</v>
      </c>
      <c r="C3" s="53">
        <v>0.47791139999999999</v>
      </c>
      <c r="D3" s="53">
        <v>0.42204710000000001</v>
      </c>
      <c r="E3" s="53"/>
      <c r="F3" s="53"/>
      <c r="G3" s="53"/>
    </row>
    <row r="4" spans="1:7" x14ac:dyDescent="0.25">
      <c r="B4" s="3" t="s">
        <v>126</v>
      </c>
      <c r="C4" s="53">
        <v>0.1189286</v>
      </c>
      <c r="D4" s="53">
        <v>0.29107519999999998</v>
      </c>
      <c r="E4" s="53">
        <v>0.96553879976272594</v>
      </c>
      <c r="F4" s="53">
        <v>0.662742018699646</v>
      </c>
      <c r="G4" s="53"/>
    </row>
    <row r="5" spans="1:7" x14ac:dyDescent="0.25">
      <c r="B5" s="3" t="s">
        <v>125</v>
      </c>
      <c r="C5" s="52">
        <v>1.450566E-2</v>
      </c>
      <c r="D5" s="52">
        <v>2.1308899999999999E-2</v>
      </c>
      <c r="E5" s="52">
        <f>1-SUM(E2:E4)</f>
        <v>3.4461200237274059E-2</v>
      </c>
      <c r="F5" s="52">
        <f>1-SUM(F2:F4)</f>
        <v>0.337257981300354</v>
      </c>
      <c r="G5" s="52">
        <f>1-SUM(G2:G4)</f>
        <v>1</v>
      </c>
    </row>
  </sheetData>
  <sheetProtection algorithmName="SHA-512" hashValue="xp8ZlBEBuvc+gxe0XU0vfnxKeL+8xFlZflStNPjFKqmqx53704qF7i6a6QxYKIS0ZYhRjQYJdTQa6fJDlymvcg==" saltValue="XcKgJyTYgRVOd55cDHwD3A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KnmbT5hlmviKJL7a8Bk6U1Yejw+GwsaZPZHNcd8wBNQ20cy4yvWbH8yXYloAEZ6AANQl77ShdjvI5ns964DhMw==" saltValue="RJzaQp/O6Fs9gf3TXR88P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147</v>
      </c>
      <c r="B1" s="4" t="s">
        <v>145</v>
      </c>
    </row>
    <row r="2" spans="1:2" x14ac:dyDescent="0.25">
      <c r="A2" s="8" t="s">
        <v>144</v>
      </c>
      <c r="B2" s="41">
        <v>10</v>
      </c>
    </row>
    <row r="3" spans="1:2" x14ac:dyDescent="0.25">
      <c r="A3" s="8" t="s">
        <v>143</v>
      </c>
      <c r="B3" s="41">
        <v>10</v>
      </c>
    </row>
    <row r="4" spans="1:2" x14ac:dyDescent="0.25">
      <c r="A4" s="8" t="s">
        <v>142</v>
      </c>
      <c r="B4" s="41">
        <v>10</v>
      </c>
    </row>
    <row r="5" spans="1:2" x14ac:dyDescent="0.25">
      <c r="A5" s="8" t="s">
        <v>146</v>
      </c>
      <c r="B5" s="41">
        <v>10</v>
      </c>
    </row>
    <row r="6" spans="1:2" x14ac:dyDescent="0.25">
      <c r="A6" s="8" t="s">
        <v>140</v>
      </c>
      <c r="B6" s="41">
        <v>10</v>
      </c>
    </row>
    <row r="7" spans="1:2" x14ac:dyDescent="0.25">
      <c r="A7" s="8" t="s">
        <v>141</v>
      </c>
      <c r="B7" s="41">
        <v>10</v>
      </c>
    </row>
  </sheetData>
  <sheetProtection algorithmName="SHA-512" hashValue="/8IEKLP8bZZ+26sqOYlz/a9PwMFmP6ZLmu8dd53KWNybl7ujQ4ON9iZSjkGGn8OJGNzimS9NND3qQ60Xtwbkmg==" saltValue="Ke5eShyE3wxcMnAak33dPg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ht="13" customHeight="1" x14ac:dyDescent="0.3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x14ac:dyDescent="0.25">
      <c r="B3" s="32" t="s">
        <v>78</v>
      </c>
      <c r="C3" s="47"/>
      <c r="D3" s="47" t="s">
        <v>5</v>
      </c>
      <c r="E3" s="38" t="str">
        <f>IF(E$7="","",E$7)</f>
        <v/>
      </c>
    </row>
    <row r="4" spans="1:5" x14ac:dyDescent="0.25">
      <c r="B4" s="32" t="s">
        <v>74</v>
      </c>
      <c r="C4" s="47"/>
      <c r="D4" s="47" t="s">
        <v>5</v>
      </c>
      <c r="E4" s="38" t="str">
        <f>IF(E$7="","",E$7)</f>
        <v/>
      </c>
    </row>
    <row r="5" spans="1:5" x14ac:dyDescent="0.25">
      <c r="B5" s="32" t="s">
        <v>77</v>
      </c>
      <c r="C5" s="47"/>
      <c r="D5" s="47"/>
      <c r="E5" s="38" t="str">
        <f>IF(E$7="","",E$7)</f>
        <v/>
      </c>
    </row>
    <row r="6" spans="1:5" x14ac:dyDescent="0.25">
      <c r="B6" s="32" t="s">
        <v>75</v>
      </c>
      <c r="C6" s="47"/>
      <c r="D6" s="47"/>
      <c r="E6" s="38" t="str">
        <f>IF(E$7="","",E$7)</f>
        <v/>
      </c>
    </row>
    <row r="7" spans="1:5" x14ac:dyDescent="0.25">
      <c r="B7" s="32" t="s">
        <v>148</v>
      </c>
      <c r="C7" s="31"/>
      <c r="D7" s="30"/>
      <c r="E7" s="47"/>
    </row>
    <row r="9" spans="1:5" ht="13" customHeight="1" x14ac:dyDescent="0.3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x14ac:dyDescent="0.25">
      <c r="B10" s="32" t="s">
        <v>78</v>
      </c>
      <c r="C10" s="47"/>
      <c r="D10" s="47"/>
      <c r="E10" s="38" t="str">
        <f>IF(E$7="","",E$7)</f>
        <v/>
      </c>
    </row>
    <row r="11" spans="1:5" x14ac:dyDescent="0.25">
      <c r="B11" s="32" t="s">
        <v>74</v>
      </c>
      <c r="C11" s="47"/>
      <c r="D11" s="47"/>
      <c r="E11" s="38" t="str">
        <f>IF(E$7="","",E$7)</f>
        <v/>
      </c>
    </row>
    <row r="12" spans="1:5" x14ac:dyDescent="0.25">
      <c r="B12" s="32" t="s">
        <v>77</v>
      </c>
      <c r="C12" s="47"/>
      <c r="D12" s="47" t="s">
        <v>5</v>
      </c>
      <c r="E12" s="38" t="str">
        <f>IF(E$7="","",E$7)</f>
        <v/>
      </c>
    </row>
    <row r="13" spans="1:5" x14ac:dyDescent="0.25">
      <c r="B13" s="32" t="s">
        <v>75</v>
      </c>
      <c r="C13" s="47"/>
      <c r="D13" s="47" t="s">
        <v>5</v>
      </c>
      <c r="E13" s="38" t="str">
        <f>IF(E$7="","",E$7)</f>
        <v/>
      </c>
    </row>
    <row r="14" spans="1:5" x14ac:dyDescent="0.25">
      <c r="B14" s="32" t="s">
        <v>148</v>
      </c>
      <c r="C14" s="31"/>
      <c r="D14" s="30"/>
      <c r="E14" s="47"/>
    </row>
    <row r="16" spans="1:5" ht="13" customHeight="1" x14ac:dyDescent="0.3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x14ac:dyDescent="0.25">
      <c r="B17" s="32" t="s">
        <v>78</v>
      </c>
      <c r="C17" s="47"/>
      <c r="D17" s="47" t="s">
        <v>5</v>
      </c>
      <c r="E17" s="38" t="str">
        <f>IF(E$7="","",E$7)</f>
        <v/>
      </c>
    </row>
    <row r="18" spans="2:5" x14ac:dyDescent="0.25">
      <c r="B18" s="32" t="s">
        <v>74</v>
      </c>
      <c r="C18" s="47"/>
      <c r="D18" s="47" t="s">
        <v>5</v>
      </c>
      <c r="E18" s="38" t="str">
        <f>IF(E$7="","",E$7)</f>
        <v/>
      </c>
    </row>
    <row r="19" spans="2:5" x14ac:dyDescent="0.25">
      <c r="B19" s="32" t="s">
        <v>77</v>
      </c>
      <c r="C19" s="47"/>
      <c r="D19" s="47" t="s">
        <v>5</v>
      </c>
      <c r="E19" s="38" t="str">
        <f>IF(E$7="","",E$7)</f>
        <v/>
      </c>
    </row>
    <row r="20" spans="2:5" x14ac:dyDescent="0.25">
      <c r="B20" s="32" t="s">
        <v>75</v>
      </c>
      <c r="C20" s="47"/>
      <c r="D20" s="47" t="s">
        <v>5</v>
      </c>
      <c r="E20" s="38" t="str">
        <f>IF(E$7="","",E$7)</f>
        <v/>
      </c>
    </row>
    <row r="21" spans="2:5" x14ac:dyDescent="0.25">
      <c r="B21" s="32" t="s">
        <v>148</v>
      </c>
      <c r="C21" s="31"/>
      <c r="D21" s="30"/>
      <c r="E21" s="47"/>
    </row>
  </sheetData>
  <sheetProtection algorithmName="SHA-512" hashValue="MOQ09rKXik88v3hMcN0NKw+wnDPOv+UU4iUhXv+SuNLSKcgMugl0GtufoWimQ/dMR36rBVASlEz6Q8Vn0iCLNA==" saltValue="TgHr7GIXpvw1W8m9U9kCW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159</v>
      </c>
      <c r="C1" s="40" t="s">
        <v>161</v>
      </c>
      <c r="D1" s="40" t="s">
        <v>157</v>
      </c>
    </row>
    <row r="2" spans="1:4" ht="13" customHeight="1" x14ac:dyDescent="0.3">
      <c r="A2" s="40" t="s">
        <v>163</v>
      </c>
      <c r="B2" s="32" t="s">
        <v>164</v>
      </c>
      <c r="C2" s="32" t="s">
        <v>162</v>
      </c>
      <c r="D2" s="47"/>
    </row>
    <row r="3" spans="1:4" ht="13" customHeight="1" x14ac:dyDescent="0.3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G4CrjvgrYAWfVDESkq9AnmUYpOI01EEL0Ifj0I0N1QZ8dEH5ODiMFgmh+n0HbBuDvfBohw9rAFfxzRDD8hbARw==" saltValue="TT3xZcQvWH3/IUsUUY++z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lang=es</cp:keywords>
  <cp:lastModifiedBy>Tharindu Wickramaarachchi</cp:lastModifiedBy>
  <dcterms:created xsi:type="dcterms:W3CDTF">2017-08-01T10:42:13Z</dcterms:created>
  <dcterms:modified xsi:type="dcterms:W3CDTF">2024-03-15T02:25:46Z</dcterms:modified>
</cp:coreProperties>
</file>