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Modeling\Nutrition\inputs\es\LiST countries\"/>
    </mc:Choice>
  </mc:AlternateContent>
  <xr:revisionPtr revIDLastSave="0" documentId="8_{18CF7F39-97BA-4DEF-84AD-77079E573698}" xr6:coauthVersionLast="47" xr6:coauthVersionMax="47" xr10:uidLastSave="{00000000-0000-0000-0000-000000000000}"/>
  <bookViews>
    <workbookView xWindow="0" yWindow="3670" windowWidth="19200" windowHeight="653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E19" i="26"/>
  <c r="D19" i="26"/>
  <c r="C19" i="26"/>
  <c r="F17" i="26"/>
  <c r="C17" i="26"/>
  <c r="C12" i="26"/>
  <c r="C10" i="26"/>
  <c r="G5" i="26"/>
  <c r="G19" i="26" s="1"/>
  <c r="F5" i="26"/>
  <c r="F19" i="26" s="1"/>
  <c r="E5" i="26"/>
  <c r="E12" i="26" s="1"/>
  <c r="D5" i="26"/>
  <c r="D12" i="26" s="1"/>
  <c r="G3" i="26"/>
  <c r="G17" i="26" s="1"/>
  <c r="F3" i="26"/>
  <c r="F10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I40" i="2"/>
  <c r="H40" i="2"/>
  <c r="G40" i="2"/>
  <c r="H39" i="2"/>
  <c r="I39" i="2" s="1"/>
  <c r="G39" i="2"/>
  <c r="A39" i="2"/>
  <c r="I38" i="2"/>
  <c r="H38" i="2"/>
  <c r="G38" i="2"/>
  <c r="A37" i="2"/>
  <c r="A34" i="2"/>
  <c r="A30" i="2"/>
  <c r="A29" i="2"/>
  <c r="A21" i="2"/>
  <c r="A18" i="2"/>
  <c r="A14" i="2"/>
  <c r="A13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I7" i="2" s="1"/>
  <c r="H6" i="2"/>
  <c r="G6" i="2"/>
  <c r="I6" i="2" s="1"/>
  <c r="H5" i="2"/>
  <c r="G5" i="2"/>
  <c r="H4" i="2"/>
  <c r="G4" i="2"/>
  <c r="I4" i="2" s="1"/>
  <c r="H3" i="2"/>
  <c r="G3" i="2"/>
  <c r="I3" i="2" s="1"/>
  <c r="H2" i="2"/>
  <c r="G2" i="2"/>
  <c r="I2" i="2" s="1"/>
  <c r="A2" i="2"/>
  <c r="A36" i="2" s="1"/>
  <c r="C33" i="1"/>
  <c r="C20" i="1"/>
  <c r="I5" i="2" l="1"/>
  <c r="I9" i="2"/>
  <c r="A17" i="2"/>
  <c r="A33" i="2"/>
  <c r="A3" i="2"/>
  <c r="A22" i="2"/>
  <c r="A38" i="2"/>
  <c r="A40" i="2"/>
  <c r="G10" i="26"/>
  <c r="A25" i="2"/>
  <c r="A26" i="2"/>
  <c r="F12" i="26"/>
  <c r="G12" i="26"/>
  <c r="D10" i="26"/>
  <c r="A15" i="2"/>
  <c r="A23" i="2"/>
  <c r="A31" i="2"/>
  <c r="E10" i="26"/>
  <c r="A16" i="2"/>
  <c r="A24" i="2"/>
  <c r="A32" i="2"/>
  <c r="A19" i="2"/>
  <c r="A27" i="2"/>
  <c r="A35" i="2"/>
  <c r="A4" i="2"/>
  <c r="A5" i="2" s="1"/>
  <c r="A6" i="2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<sst xmlns="http://schemas.openxmlformats.org/spreadsheetml/2006/main" count="2092" uniqueCount="341">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</sst>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19</v>
      </c>
      <c r="B1" s="29" t="s">
        <v>0</v>
      </c>
      <c r="C1" s="29" t="s">
        <v>24</v>
      </c>
    </row>
    <row r="2" spans="1:3" ht="15.9" customHeight="1" x14ac:dyDescent="0.3">
      <c r="A2" s="8" t="s">
        <v>55</v>
      </c>
      <c r="B2" s="29"/>
      <c r="C2" s="29"/>
    </row>
    <row r="3" spans="1:3" ht="15.9" customHeight="1" x14ac:dyDescent="0.3">
      <c r="A3" s="1"/>
      <c r="B3" s="5" t="s">
        <v>18</v>
      </c>
      <c r="C3" s="41">
        <v>2021</v>
      </c>
    </row>
    <row r="4" spans="1:3" ht="15.9" customHeight="1" x14ac:dyDescent="0.3">
      <c r="A4" s="1"/>
      <c r="B4" s="5" t="s">
        <v>26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50</v>
      </c>
    </row>
    <row r="7" spans="1:3" ht="15" customHeight="1" x14ac:dyDescent="0.25">
      <c r="B7" s="11" t="s">
        <v>23</v>
      </c>
      <c r="C7" s="43">
        <v>2948879.40625</v>
      </c>
    </row>
    <row r="8" spans="1:3" ht="15" customHeight="1" x14ac:dyDescent="0.25">
      <c r="B8" s="5" t="s">
        <v>44</v>
      </c>
      <c r="C8" s="44">
        <v>0.15</v>
      </c>
    </row>
    <row r="9" spans="1:3" ht="15" customHeight="1" x14ac:dyDescent="0.25">
      <c r="B9" s="5" t="s">
        <v>43</v>
      </c>
      <c r="C9" s="45">
        <v>2.5600000000000001E-2</v>
      </c>
    </row>
    <row r="10" spans="1:3" ht="15" customHeight="1" x14ac:dyDescent="0.25">
      <c r="B10" s="5" t="s">
        <v>56</v>
      </c>
      <c r="C10" s="45">
        <v>0.57262748718261702</v>
      </c>
    </row>
    <row r="11" spans="1:3" ht="15" customHeight="1" x14ac:dyDescent="0.25">
      <c r="B11" s="5" t="s">
        <v>49</v>
      </c>
      <c r="C11" s="45">
        <v>0.69400000000000006</v>
      </c>
    </row>
    <row r="12" spans="1:3" ht="15" customHeight="1" x14ac:dyDescent="0.25">
      <c r="B12" s="5" t="s">
        <v>41</v>
      </c>
      <c r="C12" s="45">
        <v>0.84900000000000009</v>
      </c>
    </row>
    <row r="13" spans="1:3" ht="15" customHeight="1" x14ac:dyDescent="0.25">
      <c r="B13" s="5" t="s">
        <v>62</v>
      </c>
      <c r="C13" s="45">
        <v>0.439</v>
      </c>
    </row>
    <row r="14" spans="1:3" ht="15" customHeight="1" x14ac:dyDescent="0.25">
      <c r="B14" s="8"/>
    </row>
    <row r="15" spans="1:3" ht="15" customHeight="1" x14ac:dyDescent="0.3">
      <c r="A15" s="8" t="s">
        <v>28</v>
      </c>
      <c r="B15" s="14"/>
      <c r="C15" s="3"/>
    </row>
    <row r="16" spans="1:3" ht="15" customHeight="1" x14ac:dyDescent="0.25">
      <c r="B16" s="5" t="s">
        <v>33</v>
      </c>
      <c r="C16" s="45">
        <v>0.1</v>
      </c>
    </row>
    <row r="17" spans="1:3" ht="15" customHeight="1" x14ac:dyDescent="0.25">
      <c r="B17" s="5" t="s">
        <v>30</v>
      </c>
      <c r="C17" s="45">
        <v>0.7</v>
      </c>
    </row>
    <row r="18" spans="1:3" ht="15" customHeight="1" x14ac:dyDescent="0.25">
      <c r="B18" s="5" t="s">
        <v>31</v>
      </c>
      <c r="C18" s="45">
        <v>0.05</v>
      </c>
    </row>
    <row r="19" spans="1:3" ht="15" customHeight="1" x14ac:dyDescent="0.25">
      <c r="B19" s="5" t="s">
        <v>29</v>
      </c>
      <c r="C19" s="45">
        <v>0.05</v>
      </c>
    </row>
    <row r="20" spans="1:3" ht="15" customHeight="1" x14ac:dyDescent="0.25">
      <c r="B20" s="5" t="s">
        <v>34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12</v>
      </c>
    </row>
    <row r="23" spans="1:3" ht="15" customHeight="1" x14ac:dyDescent="0.25">
      <c r="B23" s="15" t="s">
        <v>45</v>
      </c>
      <c r="C23" s="45">
        <v>0.1673</v>
      </c>
    </row>
    <row r="24" spans="1:3" ht="15" customHeight="1" x14ac:dyDescent="0.25">
      <c r="B24" s="15" t="s">
        <v>46</v>
      </c>
      <c r="C24" s="45">
        <v>0.62609999999999999</v>
      </c>
    </row>
    <row r="25" spans="1:3" ht="15" customHeight="1" x14ac:dyDescent="0.25">
      <c r="B25" s="15" t="s">
        <v>47</v>
      </c>
      <c r="C25" s="45">
        <v>0.1709</v>
      </c>
    </row>
    <row r="26" spans="1:3" ht="15" customHeight="1" x14ac:dyDescent="0.25">
      <c r="B26" s="15" t="s">
        <v>48</v>
      </c>
      <c r="C26" s="45">
        <v>3.5700000000000003E-2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22</v>
      </c>
      <c r="B28" s="15"/>
      <c r="C28" s="15"/>
    </row>
    <row r="29" spans="1:3" ht="14.25" customHeight="1" x14ac:dyDescent="0.25">
      <c r="B29" s="25" t="s">
        <v>27</v>
      </c>
      <c r="C29" s="45">
        <v>0.39664624370396601</v>
      </c>
    </row>
    <row r="30" spans="1:3" ht="14.25" customHeight="1" x14ac:dyDescent="0.25">
      <c r="B30" s="25" t="s">
        <v>63</v>
      </c>
      <c r="C30" s="99">
        <v>5.3160938310531598E-2</v>
      </c>
    </row>
    <row r="31" spans="1:3" ht="14.25" customHeight="1" x14ac:dyDescent="0.25">
      <c r="B31" s="25" t="s">
        <v>10</v>
      </c>
      <c r="C31" s="99">
        <v>7.5500634280755E-2</v>
      </c>
    </row>
    <row r="32" spans="1:3" ht="14.25" customHeight="1" x14ac:dyDescent="0.25">
      <c r="B32" s="25" t="s">
        <v>11</v>
      </c>
      <c r="C32" s="99">
        <v>0.47469218370474697</v>
      </c>
    </row>
    <row r="33" spans="1:5" ht="13" customHeight="1" x14ac:dyDescent="0.25">
      <c r="B33" s="27" t="s">
        <v>60</v>
      </c>
      <c r="C33" s="48">
        <f>SUM(C29:C32)</f>
        <v>0.99999999999999956</v>
      </c>
    </row>
    <row r="34" spans="1:5" ht="15" customHeight="1" x14ac:dyDescent="0.25"/>
    <row r="35" spans="1:5" ht="15" customHeight="1" x14ac:dyDescent="0.3">
      <c r="A35" s="4" t="s">
        <v>20</v>
      </c>
    </row>
    <row r="36" spans="1:5" ht="15" customHeight="1" x14ac:dyDescent="0.25">
      <c r="A36" s="8" t="s">
        <v>37</v>
      </c>
      <c r="B36" s="5"/>
    </row>
    <row r="37" spans="1:5" ht="15" customHeight="1" x14ac:dyDescent="0.25">
      <c r="B37" s="11" t="s">
        <v>38</v>
      </c>
      <c r="C37" s="43">
        <v>19.779938272721498</v>
      </c>
    </row>
    <row r="38" spans="1:5" ht="15" customHeight="1" x14ac:dyDescent="0.25">
      <c r="B38" s="11" t="s">
        <v>35</v>
      </c>
      <c r="C38" s="43">
        <v>25.618696562971401</v>
      </c>
      <c r="D38" s="12"/>
      <c r="E38" s="13"/>
    </row>
    <row r="39" spans="1:5" ht="15" customHeight="1" x14ac:dyDescent="0.25">
      <c r="B39" s="11" t="s">
        <v>61</v>
      </c>
      <c r="C39" s="43">
        <v>30.792190872791199</v>
      </c>
      <c r="D39" s="12"/>
      <c r="E39" s="12"/>
    </row>
    <row r="40" spans="1:5" ht="15" customHeight="1" x14ac:dyDescent="0.25">
      <c r="B40" s="11" t="s">
        <v>36</v>
      </c>
      <c r="C40" s="100">
        <v>1.86</v>
      </c>
    </row>
    <row r="41" spans="1:5" ht="15" customHeight="1" x14ac:dyDescent="0.25">
      <c r="B41" s="11" t="s">
        <v>32</v>
      </c>
      <c r="C41" s="45">
        <v>0.12</v>
      </c>
    </row>
    <row r="42" spans="1:5" ht="15" customHeight="1" x14ac:dyDescent="0.25">
      <c r="B42" s="11" t="s">
        <v>57</v>
      </c>
      <c r="C42" s="43">
        <v>17.4554297</v>
      </c>
    </row>
    <row r="43" spans="1:5" ht="15.75" customHeight="1" x14ac:dyDescent="0.25">
      <c r="D43" s="12"/>
    </row>
    <row r="44" spans="1:5" ht="15.75" customHeight="1" x14ac:dyDescent="0.25">
      <c r="A44" s="8" t="s">
        <v>21</v>
      </c>
      <c r="D44" s="12"/>
    </row>
    <row r="45" spans="1:5" ht="15.75" customHeight="1" x14ac:dyDescent="0.25">
      <c r="B45" s="11" t="s">
        <v>52</v>
      </c>
      <c r="C45" s="45">
        <v>1.5018999999999999E-2</v>
      </c>
      <c r="D45" s="12"/>
    </row>
    <row r="46" spans="1:5" ht="15.75" customHeight="1" x14ac:dyDescent="0.25">
      <c r="B46" s="11" t="s">
        <v>51</v>
      </c>
      <c r="C46" s="45">
        <v>9.9096600000000007E-2</v>
      </c>
      <c r="D46" s="12"/>
    </row>
    <row r="47" spans="1:5" ht="15.75" customHeight="1" x14ac:dyDescent="0.25">
      <c r="B47" s="11" t="s">
        <v>59</v>
      </c>
      <c r="C47" s="45">
        <v>0.37001590000000001</v>
      </c>
      <c r="D47" s="12"/>
      <c r="E47" s="13"/>
    </row>
    <row r="48" spans="1:5" ht="15" customHeight="1" x14ac:dyDescent="0.25">
      <c r="B48" s="11" t="s">
        <v>58</v>
      </c>
      <c r="C48" s="46">
        <v>0.51586849999999995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25</v>
      </c>
      <c r="D50" s="12"/>
    </row>
    <row r="51" spans="1:4" ht="15.75" customHeight="1" x14ac:dyDescent="0.25">
      <c r="B51" s="11" t="s">
        <v>17</v>
      </c>
      <c r="C51" s="100">
        <v>2.4</v>
      </c>
      <c r="D51" s="12"/>
    </row>
    <row r="52" spans="1:4" ht="15" customHeight="1" x14ac:dyDescent="0.25">
      <c r="B52" s="11" t="s">
        <v>13</v>
      </c>
      <c r="C52" s="100">
        <v>2.4</v>
      </c>
    </row>
    <row r="53" spans="1:4" ht="15.75" customHeight="1" x14ac:dyDescent="0.25">
      <c r="B53" s="11" t="s">
        <v>16</v>
      </c>
      <c r="C53" s="100">
        <v>2.4</v>
      </c>
    </row>
    <row r="54" spans="1:4" ht="15.75" customHeight="1" x14ac:dyDescent="0.25">
      <c r="B54" s="11" t="s">
        <v>14</v>
      </c>
      <c r="C54" s="100">
        <v>2.4</v>
      </c>
    </row>
    <row r="55" spans="1:4" ht="15.75" customHeight="1" x14ac:dyDescent="0.25">
      <c r="B55" s="11" t="s">
        <v>15</v>
      </c>
      <c r="C55" s="100">
        <v>2.4</v>
      </c>
    </row>
    <row r="57" spans="1:4" ht="15.75" customHeight="1" x14ac:dyDescent="0.25">
      <c r="A57" s="8" t="s">
        <v>39</v>
      </c>
    </row>
    <row r="58" spans="1:4" ht="15.75" customHeight="1" x14ac:dyDescent="0.25">
      <c r="B58" s="5" t="s">
        <v>42</v>
      </c>
      <c r="C58" s="45">
        <v>2.1666666666666671E-2</v>
      </c>
    </row>
    <row r="59" spans="1:4" ht="15.75" customHeight="1" x14ac:dyDescent="0.25">
      <c r="B59" s="11" t="s">
        <v>40</v>
      </c>
      <c r="C59" s="45">
        <v>0.50705099999999992</v>
      </c>
    </row>
    <row r="60" spans="1:4" ht="15.75" customHeight="1" x14ac:dyDescent="0.25">
      <c r="B60" s="11" t="s">
        <v>54</v>
      </c>
      <c r="C60" s="45">
        <v>4.5999999999999999E-2</v>
      </c>
    </row>
    <row r="61" spans="1:4" ht="15.75" customHeight="1" x14ac:dyDescent="0.25">
      <c r="B61" s="11" t="s">
        <v>53</v>
      </c>
      <c r="C61" s="45">
        <v>1.4E-2</v>
      </c>
    </row>
    <row r="62" spans="1:4" ht="15.75" customHeight="1" x14ac:dyDescent="0.25">
      <c r="B62" s="11" t="s">
        <v>64</v>
      </c>
      <c r="C62" s="44">
        <v>0.21813127999999901</v>
      </c>
    </row>
    <row r="63" spans="1:4" ht="15.75" customHeight="1" x14ac:dyDescent="0.3">
      <c r="A63" s="4"/>
    </row>
  </sheetData>
  <sheetProtection algorithmName="SHA-512" hashValue="6YJw7HUxfttF1SZD73Sd3TPaMOyMLhhomT6nq4/G4mtT++xrdR206v8nXb4EEd0te38Thnyf9YRJ+ycwgcmRcA==" saltValue="P5cjI7r7DgJyswpsTAbj4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5">
      <c r="A2" s="5" t="s">
        <v>165</v>
      </c>
      <c r="B2" s="45">
        <v>0.44258721559001901</v>
      </c>
      <c r="C2" s="98">
        <v>0.95</v>
      </c>
      <c r="D2" s="56">
        <v>36.247519202644909</v>
      </c>
      <c r="E2" s="56" t="s">
        <v>183</v>
      </c>
      <c r="F2" s="98">
        <v>1</v>
      </c>
      <c r="G2" s="98">
        <v>1</v>
      </c>
    </row>
    <row r="3" spans="1:7" ht="15.75" customHeight="1" x14ac:dyDescent="0.25">
      <c r="A3" s="5" t="s">
        <v>166</v>
      </c>
      <c r="B3" s="45">
        <v>0</v>
      </c>
      <c r="C3" s="98">
        <v>0.95</v>
      </c>
      <c r="D3" s="56">
        <v>44.666649407350029</v>
      </c>
      <c r="E3" s="56" t="s">
        <v>183</v>
      </c>
      <c r="F3" s="98">
        <v>1</v>
      </c>
      <c r="G3" s="98">
        <v>1</v>
      </c>
    </row>
    <row r="4" spans="1:7" ht="15.75" customHeight="1" x14ac:dyDescent="0.25">
      <c r="A4" s="5" t="s">
        <v>167</v>
      </c>
      <c r="B4" s="98">
        <v>0</v>
      </c>
      <c r="C4" s="98">
        <v>0.95</v>
      </c>
      <c r="D4" s="56">
        <v>72.912225149850372</v>
      </c>
      <c r="E4" s="56" t="s">
        <v>183</v>
      </c>
      <c r="F4" s="98">
        <v>1</v>
      </c>
      <c r="G4" s="98">
        <v>1</v>
      </c>
    </row>
    <row r="5" spans="1:7" ht="15.75" customHeight="1" x14ac:dyDescent="0.25">
      <c r="A5" s="5" t="s">
        <v>169</v>
      </c>
      <c r="B5" s="98">
        <v>0</v>
      </c>
      <c r="C5" s="98">
        <v>0.95</v>
      </c>
      <c r="D5" s="56">
        <v>1.223649899572512</v>
      </c>
      <c r="E5" s="56" t="s">
        <v>183</v>
      </c>
      <c r="F5" s="98">
        <v>1</v>
      </c>
      <c r="G5" s="98">
        <v>1</v>
      </c>
    </row>
    <row r="6" spans="1:7" ht="15.75" customHeight="1" x14ac:dyDescent="0.25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5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5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5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5">
      <c r="A10" s="11" t="s">
        <v>174</v>
      </c>
      <c r="B10" s="45">
        <v>0</v>
      </c>
      <c r="C10" s="98">
        <v>0.95</v>
      </c>
      <c r="D10" s="56">
        <v>14.191711276470389</v>
      </c>
      <c r="E10" s="56" t="s">
        <v>183</v>
      </c>
      <c r="F10" s="98">
        <v>1</v>
      </c>
      <c r="G10" s="98">
        <v>1</v>
      </c>
    </row>
    <row r="11" spans="1:7" ht="15.75" customHeight="1" x14ac:dyDescent="0.25">
      <c r="A11" s="11" t="s">
        <v>175</v>
      </c>
      <c r="B11" s="98">
        <v>0</v>
      </c>
      <c r="C11" s="98">
        <v>0.95</v>
      </c>
      <c r="D11" s="56">
        <v>14.191711276470389</v>
      </c>
      <c r="E11" s="56" t="s">
        <v>183</v>
      </c>
      <c r="F11" s="98">
        <v>1</v>
      </c>
      <c r="G11" s="98">
        <v>1</v>
      </c>
    </row>
    <row r="12" spans="1:7" ht="15.75" customHeight="1" x14ac:dyDescent="0.25">
      <c r="A12" s="11" t="s">
        <v>176</v>
      </c>
      <c r="B12" s="98">
        <v>0</v>
      </c>
      <c r="C12" s="98">
        <v>0.95</v>
      </c>
      <c r="D12" s="56">
        <v>14.191711276470389</v>
      </c>
      <c r="E12" s="56" t="s">
        <v>183</v>
      </c>
      <c r="F12" s="98">
        <v>1</v>
      </c>
      <c r="G12" s="98">
        <v>1</v>
      </c>
    </row>
    <row r="13" spans="1:7" ht="15.75" customHeight="1" x14ac:dyDescent="0.25">
      <c r="A13" s="11" t="s">
        <v>177</v>
      </c>
      <c r="B13" s="98">
        <v>0</v>
      </c>
      <c r="C13" s="98">
        <v>0.95</v>
      </c>
      <c r="D13" s="56">
        <v>14.191711276470389</v>
      </c>
      <c r="E13" s="56" t="s">
        <v>183</v>
      </c>
      <c r="F13" s="98">
        <v>1</v>
      </c>
      <c r="G13" s="98">
        <v>1</v>
      </c>
    </row>
    <row r="14" spans="1:7" ht="15.75" customHeight="1" x14ac:dyDescent="0.25">
      <c r="A14" s="5" t="s">
        <v>178</v>
      </c>
      <c r="B14" s="45">
        <v>0</v>
      </c>
      <c r="C14" s="98">
        <v>0.95</v>
      </c>
      <c r="D14" s="56">
        <v>14.191711276470389</v>
      </c>
      <c r="E14" s="56" t="s">
        <v>183</v>
      </c>
      <c r="F14" s="98">
        <v>1</v>
      </c>
      <c r="G14" s="98">
        <v>1</v>
      </c>
    </row>
    <row r="15" spans="1:7" ht="15.75" customHeight="1" x14ac:dyDescent="0.25">
      <c r="A15" s="5" t="s">
        <v>179</v>
      </c>
      <c r="B15" s="98">
        <v>0</v>
      </c>
      <c r="C15" s="98">
        <v>0.95</v>
      </c>
      <c r="D15" s="56">
        <v>14.191711276470389</v>
      </c>
      <c r="E15" s="56" t="s">
        <v>183</v>
      </c>
      <c r="F15" s="98">
        <v>1</v>
      </c>
      <c r="G15" s="98">
        <v>1</v>
      </c>
    </row>
    <row r="16" spans="1:7" ht="15.75" customHeight="1" x14ac:dyDescent="0.25">
      <c r="A16" s="5" t="s">
        <v>180</v>
      </c>
      <c r="B16" s="45">
        <v>0.49399923843919402</v>
      </c>
      <c r="C16" s="98">
        <v>0.95</v>
      </c>
      <c r="D16" s="56">
        <v>0.2479965587591009</v>
      </c>
      <c r="E16" s="56" t="s">
        <v>183</v>
      </c>
      <c r="F16" s="98">
        <v>1</v>
      </c>
      <c r="G16" s="98">
        <v>1</v>
      </c>
    </row>
    <row r="17" spans="1:7" ht="15.75" customHeight="1" x14ac:dyDescent="0.25">
      <c r="A17" s="5" t="s">
        <v>181</v>
      </c>
      <c r="B17" s="98">
        <v>0.89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" customHeight="1" x14ac:dyDescent="0.25">
      <c r="A18" s="5" t="s">
        <v>151</v>
      </c>
      <c r="B18" s="98">
        <v>0</v>
      </c>
      <c r="C18" s="98">
        <v>0.95</v>
      </c>
      <c r="D18" s="56">
        <v>1.783669753024828</v>
      </c>
      <c r="E18" s="56" t="s">
        <v>183</v>
      </c>
      <c r="F18" s="98">
        <v>1</v>
      </c>
      <c r="G18" s="98">
        <v>1</v>
      </c>
    </row>
    <row r="19" spans="1:7" ht="15.75" customHeight="1" x14ac:dyDescent="0.25">
      <c r="A19" s="5" t="s">
        <v>152</v>
      </c>
      <c r="B19" s="98">
        <v>0</v>
      </c>
      <c r="C19" s="98">
        <v>0.95</v>
      </c>
      <c r="D19" s="56">
        <v>1.783669753024828</v>
      </c>
      <c r="E19" s="56" t="s">
        <v>183</v>
      </c>
      <c r="F19" s="98">
        <v>1</v>
      </c>
      <c r="G19" s="98">
        <v>1</v>
      </c>
    </row>
    <row r="20" spans="1:7" ht="15.75" customHeight="1" x14ac:dyDescent="0.25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5">
      <c r="A21" s="5" t="s">
        <v>182</v>
      </c>
      <c r="B21" s="45">
        <v>0.70310981750000001</v>
      </c>
      <c r="C21" s="98">
        <v>0.95</v>
      </c>
      <c r="D21" s="56">
        <v>9.0332234091804775</v>
      </c>
      <c r="E21" s="56" t="s">
        <v>183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24.192824415868039</v>
      </c>
      <c r="E22" s="56" t="s">
        <v>183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0.16832067489999999</v>
      </c>
      <c r="C23" s="98">
        <v>0.95</v>
      </c>
      <c r="D23" s="56">
        <v>4.6601859455142458</v>
      </c>
      <c r="E23" s="56" t="s">
        <v>183</v>
      </c>
      <c r="F23" s="98">
        <v>1</v>
      </c>
      <c r="G23" s="98">
        <v>1</v>
      </c>
    </row>
    <row r="24" spans="1:7" ht="15.75" customHeight="1" x14ac:dyDescent="0.25">
      <c r="A24" s="5" t="s">
        <v>188</v>
      </c>
      <c r="B24" s="45">
        <v>0.69017188258597206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5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5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5">
      <c r="A27" s="5" t="s">
        <v>191</v>
      </c>
      <c r="B27" s="45">
        <v>0.47844153398485301</v>
      </c>
      <c r="C27" s="98">
        <v>0.95</v>
      </c>
      <c r="D27" s="56">
        <v>20.497190899555481</v>
      </c>
      <c r="E27" s="56" t="s">
        <v>183</v>
      </c>
      <c r="F27" s="98">
        <v>1</v>
      </c>
      <c r="G27" s="98">
        <v>1</v>
      </c>
    </row>
    <row r="28" spans="1:7" ht="15.75" customHeight="1" x14ac:dyDescent="0.25">
      <c r="A28" s="5" t="s">
        <v>192</v>
      </c>
      <c r="B28" s="45">
        <v>0.59530632019999996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5">
      <c r="A29" s="5" t="s">
        <v>193</v>
      </c>
      <c r="B29" s="45">
        <v>0</v>
      </c>
      <c r="C29" s="98">
        <v>0.95</v>
      </c>
      <c r="D29" s="56">
        <v>63.934132245620098</v>
      </c>
      <c r="E29" s="56" t="s">
        <v>183</v>
      </c>
      <c r="F29" s="98">
        <v>1</v>
      </c>
      <c r="G29" s="98">
        <v>1</v>
      </c>
    </row>
    <row r="30" spans="1:7" ht="15.75" customHeight="1" x14ac:dyDescent="0.25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5">
      <c r="A31" s="5" t="s">
        <v>164</v>
      </c>
      <c r="B31" s="45">
        <v>9.1000000000000004E-3</v>
      </c>
      <c r="C31" s="98">
        <v>0.95</v>
      </c>
      <c r="D31" s="56">
        <v>1.2528760783438719</v>
      </c>
      <c r="E31" s="56" t="s">
        <v>183</v>
      </c>
      <c r="F31" s="98">
        <v>1</v>
      </c>
      <c r="G31" s="98">
        <v>1</v>
      </c>
    </row>
    <row r="32" spans="1:7" ht="15.75" customHeight="1" x14ac:dyDescent="0.25">
      <c r="A32" s="5" t="s">
        <v>196</v>
      </c>
      <c r="B32" s="45">
        <v>0.58612727999999992</v>
      </c>
      <c r="C32" s="98">
        <v>0.95</v>
      </c>
      <c r="D32" s="56">
        <v>0.47412256872115971</v>
      </c>
      <c r="E32" s="56" t="s">
        <v>183</v>
      </c>
      <c r="F32" s="98">
        <v>1</v>
      </c>
      <c r="G32" s="98">
        <v>1</v>
      </c>
    </row>
    <row r="33" spans="1:7" ht="15.75" customHeight="1" x14ac:dyDescent="0.25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5">
      <c r="A34" s="5" t="s">
        <v>198</v>
      </c>
      <c r="B34" s="45">
        <v>0.62053595449258603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5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5">
      <c r="A36" s="5" t="s">
        <v>200</v>
      </c>
      <c r="B36" s="45">
        <v>0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5">
      <c r="A37" s="5" t="s">
        <v>201</v>
      </c>
      <c r="B37" s="45">
        <v>0.76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5">
      <c r="A38" s="5" t="s">
        <v>202</v>
      </c>
      <c r="B38" s="45">
        <v>0.37915290829999998</v>
      </c>
      <c r="C38" s="98">
        <v>0.95</v>
      </c>
      <c r="D38" s="56">
        <v>2.060337016073285</v>
      </c>
      <c r="E38" s="56" t="s">
        <v>183</v>
      </c>
      <c r="F38" s="98">
        <v>1</v>
      </c>
      <c r="G38" s="98">
        <v>1</v>
      </c>
    </row>
    <row r="39" spans="1:7" ht="15.75" customHeight="1" x14ac:dyDescent="0.25">
      <c r="A39" s="5" t="s">
        <v>203</v>
      </c>
      <c r="B39" s="45">
        <v>0.39709548950000001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fXv6SkJfA4ee9Mca/tvNpA16LPa/uLVT/4hJp2OCxT2EHDeo/wLcwgO0HrQ9wr9VosW/llN4Mj7ql0R/zY7a/w==" saltValue="uDYOZxFCWCyTNu+5xnS0h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163</v>
      </c>
      <c r="B1" s="4" t="s">
        <v>205</v>
      </c>
      <c r="C1" s="4" t="s">
        <v>206</v>
      </c>
    </row>
    <row r="2" spans="1:3" x14ac:dyDescent="0.25">
      <c r="A2" s="57" t="s">
        <v>178</v>
      </c>
      <c r="B2" s="47" t="s">
        <v>191</v>
      </c>
      <c r="C2" s="47"/>
    </row>
    <row r="3" spans="1:3" x14ac:dyDescent="0.25">
      <c r="A3" s="57" t="s">
        <v>179</v>
      </c>
      <c r="B3" s="47" t="s">
        <v>191</v>
      </c>
      <c r="C3" s="47"/>
    </row>
    <row r="4" spans="1:3" x14ac:dyDescent="0.25">
      <c r="A4" s="57" t="s">
        <v>193</v>
      </c>
      <c r="B4" s="47" t="s">
        <v>184</v>
      </c>
      <c r="C4" s="47"/>
    </row>
    <row r="5" spans="1:3" x14ac:dyDescent="0.25">
      <c r="A5" s="57" t="s">
        <v>190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E5qARyRM1e4h1FfVvT02ryu1iAVLFbceMc6fn+gieETSp8CetELl4ZNbxNUF1HPB5oJ43FcWXqHOhGvZwakRqw==" saltValue="R8pt5KW+RSrg089LMr6AT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163</v>
      </c>
    </row>
    <row r="2" spans="1:1" x14ac:dyDescent="0.25">
      <c r="A2" s="33" t="s">
        <v>170</v>
      </c>
    </row>
    <row r="3" spans="1:1" x14ac:dyDescent="0.25">
      <c r="A3" s="33" t="s">
        <v>180</v>
      </c>
    </row>
    <row r="4" spans="1:1" x14ac:dyDescent="0.25">
      <c r="A4" s="33" t="s">
        <v>185</v>
      </c>
    </row>
    <row r="5" spans="1:1" x14ac:dyDescent="0.25">
      <c r="A5" s="33" t="s">
        <v>197</v>
      </c>
    </row>
    <row r="6" spans="1:1" x14ac:dyDescent="0.25">
      <c r="A6" s="33" t="s">
        <v>198</v>
      </c>
    </row>
    <row r="7" spans="1:1" x14ac:dyDescent="0.25">
      <c r="A7" s="33" t="s">
        <v>199</v>
      </c>
    </row>
    <row r="8" spans="1:1" x14ac:dyDescent="0.25">
      <c r="A8" s="33" t="s">
        <v>200</v>
      </c>
    </row>
    <row r="9" spans="1:1" x14ac:dyDescent="0.25">
      <c r="A9" s="33" t="s">
        <v>201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sheetProtection algorithmName="SHA-512" hashValue="GK+bb8F+/wY8r+HQFO9oCr17PjnHiLM1Eog/c5d+siBUv6OauhrYAhnS1ZGJX+2y0mxuJd70YWhHbHjipl65WQ==" saltValue="0vKL1mHGpjtUUNDV5r5oy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5">
      <c r="A2" s="3" t="s">
        <v>84</v>
      </c>
      <c r="B2" s="21">
        <f>'Entradas de población-año base'!C51</f>
        <v>2.4</v>
      </c>
      <c r="C2" s="21">
        <f>'Entradas de población-año base'!C52</f>
        <v>2.4</v>
      </c>
      <c r="D2" s="21">
        <f>'Entradas de población-año base'!C53</f>
        <v>2.4</v>
      </c>
      <c r="E2" s="21">
        <f>'Entradas de población-año base'!C54</f>
        <v>2.4</v>
      </c>
      <c r="F2" s="21">
        <f>'Entradas de población-año base'!C55</f>
        <v>2.4</v>
      </c>
    </row>
    <row r="3" spans="1:6" ht="15.75" customHeight="1" x14ac:dyDescent="0.25">
      <c r="A3" s="3" t="s">
        <v>6</v>
      </c>
      <c r="B3" s="21">
        <f>frac_mam_1month * 2.6</f>
        <v>0.286367172</v>
      </c>
      <c r="C3" s="21">
        <f>frac_mam_1_5months * 2.6</f>
        <v>0.286367172</v>
      </c>
      <c r="D3" s="21">
        <f>frac_mam_6_11months * 2.6</f>
        <v>0.267502352</v>
      </c>
      <c r="E3" s="21">
        <f>frac_mam_12_23months * 2.6</f>
        <v>0.278405348</v>
      </c>
      <c r="F3" s="21">
        <f>frac_mam_24_59months * 2.6</f>
        <v>0.20934607460000004</v>
      </c>
    </row>
    <row r="4" spans="1:6" ht="15.75" customHeight="1" x14ac:dyDescent="0.25">
      <c r="A4" s="3" t="s">
        <v>207</v>
      </c>
      <c r="B4" s="21">
        <f>frac_sam_1month * 2.6</f>
        <v>0.12269331360000001</v>
      </c>
      <c r="C4" s="21">
        <f>frac_sam_1_5months * 2.6</f>
        <v>0.12269331360000001</v>
      </c>
      <c r="D4" s="21">
        <f>frac_sam_6_11months * 2.6</f>
        <v>0.12628498479999997</v>
      </c>
      <c r="E4" s="21">
        <f>frac_sam_12_23months * 2.6</f>
        <v>9.5964034400000009E-2</v>
      </c>
      <c r="F4" s="21">
        <f>frac_sam_24_59months * 2.6</f>
        <v>5.5895681400000008E-2</v>
      </c>
    </row>
  </sheetData>
  <sheetProtection algorithmName="SHA-512" hashValue="Yeg56otox19J3QSAPpmC0lScAqFuY1C3O5u3Upo0nv3J9suUp8FDyuVKtmZcvUL+kTBLYXt+K3M9iTpOI/lX6w==" saltValue="i9z+8cZ6gx6AyKYbWuOTY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">
      <c r="A2" s="4" t="s">
        <v>83</v>
      </c>
      <c r="B2" s="5" t="s">
        <v>167</v>
      </c>
      <c r="C2" s="60">
        <v>0</v>
      </c>
      <c r="D2" s="60">
        <f>food_insecure</f>
        <v>0.15</v>
      </c>
      <c r="E2" s="60">
        <f>food_insecure</f>
        <v>0.15</v>
      </c>
      <c r="F2" s="60">
        <f>food_insecure</f>
        <v>0.15</v>
      </c>
      <c r="G2" s="60">
        <f>food_insecure</f>
        <v>0.15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0.15</v>
      </c>
      <c r="F5" s="60">
        <f>food_insecure</f>
        <v>0.15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192</v>
      </c>
      <c r="C7" s="60">
        <f>diarrhoea_1mo*frac_diarrhea_severe</f>
        <v>5.2000000000000011E-2</v>
      </c>
      <c r="D7" s="60">
        <f>diarrhoea_1_5mo*frac_diarrhea_severe</f>
        <v>5.2000000000000011E-2</v>
      </c>
      <c r="E7" s="60">
        <f>diarrhoea_6_11mo*frac_diarrhea_severe</f>
        <v>5.2000000000000011E-2</v>
      </c>
      <c r="F7" s="60">
        <f>diarrhoea_12_23mo*frac_diarrhea_severe</f>
        <v>5.2000000000000011E-2</v>
      </c>
      <c r="G7" s="60">
        <f>diarrhoea_24_59mo*frac_diarrhea_severe</f>
        <v>5.2000000000000011E-2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193</v>
      </c>
      <c r="C8" s="60">
        <v>0</v>
      </c>
      <c r="D8" s="60">
        <v>0</v>
      </c>
      <c r="E8" s="60">
        <f>food_insecure</f>
        <v>0.15</v>
      </c>
      <c r="F8" s="60">
        <f>food_insecure</f>
        <v>0.15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204</v>
      </c>
      <c r="C9" s="60">
        <v>0</v>
      </c>
      <c r="D9" s="60">
        <v>0</v>
      </c>
      <c r="E9" s="60">
        <f>food_insecure</f>
        <v>0.15</v>
      </c>
      <c r="F9" s="60">
        <f>food_insecure</f>
        <v>0.15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164</v>
      </c>
      <c r="C10" s="60">
        <v>0</v>
      </c>
      <c r="D10" s="60">
        <f>IF(ISBLANK(comm_deliv), frac_children_health_facility,1)</f>
        <v>0.84900000000000009</v>
      </c>
      <c r="E10" s="60">
        <f>IF(ISBLANK(comm_deliv), frac_children_health_facility,1)</f>
        <v>0.84900000000000009</v>
      </c>
      <c r="F10" s="60">
        <f>IF(ISBLANK(comm_deliv), frac_children_health_facility,1)</f>
        <v>0.84900000000000009</v>
      </c>
      <c r="G10" s="60">
        <f>IF(ISBLANK(comm_deliv), frac_children_health_facility,1)</f>
        <v>0.84900000000000009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202</v>
      </c>
      <c r="C12" s="60">
        <f>diarrhoea_1mo*frac_diarrhea_severe</f>
        <v>5.2000000000000011E-2</v>
      </c>
      <c r="D12" s="60">
        <f>diarrhoea_1_5mo*frac_diarrhea_severe</f>
        <v>5.2000000000000011E-2</v>
      </c>
      <c r="E12" s="60">
        <f>diarrhoea_6_11mo*frac_diarrhea_severe</f>
        <v>5.2000000000000011E-2</v>
      </c>
      <c r="F12" s="60">
        <f>diarrhoea_12_23mo*frac_diarrhea_severe</f>
        <v>5.2000000000000011E-2</v>
      </c>
      <c r="G12" s="60">
        <f>diarrhoea_24_59mo*frac_diarrhea_severe</f>
        <v>5.2000000000000011E-2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0.15</v>
      </c>
      <c r="I15" s="60">
        <f>food_insecure</f>
        <v>0.15</v>
      </c>
      <c r="J15" s="60">
        <f>food_insecure</f>
        <v>0.15</v>
      </c>
      <c r="K15" s="60">
        <f>food_insecure</f>
        <v>0.15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0.69400000000000006</v>
      </c>
      <c r="I18" s="60">
        <f>frac_PW_health_facility</f>
        <v>0.69400000000000006</v>
      </c>
      <c r="J18" s="60">
        <f>frac_PW_health_facility</f>
        <v>0.69400000000000006</v>
      </c>
      <c r="K18" s="60">
        <f>frac_PW_health_facility</f>
        <v>0.69400000000000006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2.5600000000000001E-2</v>
      </c>
      <c r="I19" s="60">
        <f>frac_malaria_risk</f>
        <v>2.5600000000000001E-2</v>
      </c>
      <c r="J19" s="60">
        <f>frac_malaria_risk</f>
        <v>2.5600000000000001E-2</v>
      </c>
      <c r="K19" s="60">
        <f>frac_malaria_risk</f>
        <v>2.5600000000000001E-2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0.439</v>
      </c>
      <c r="M24" s="60">
        <f>famplan_unmet_need</f>
        <v>0.439</v>
      </c>
      <c r="N24" s="60">
        <f>famplan_unmet_need</f>
        <v>0.439</v>
      </c>
      <c r="O24" s="60">
        <f>famplan_unmet_need</f>
        <v>0.439</v>
      </c>
    </row>
    <row r="25" spans="1:15" ht="15.75" customHeight="1" x14ac:dyDescent="0.25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0.22287476543426521</v>
      </c>
      <c r="M25" s="60">
        <f>(1-food_insecure)*(0.49)+food_insecure*(0.7)</f>
        <v>0.52149999999999996</v>
      </c>
      <c r="N25" s="60">
        <f>(1-food_insecure)*(0.49)+food_insecure*(0.7)</f>
        <v>0.52149999999999996</v>
      </c>
      <c r="O25" s="60">
        <f>(1-food_insecure)*(0.49)+food_insecure*(0.7)</f>
        <v>0.52149999999999996</v>
      </c>
    </row>
    <row r="26" spans="1:15" ht="15.75" customHeight="1" x14ac:dyDescent="0.25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9.551775661468509E-2</v>
      </c>
      <c r="M26" s="60">
        <f>(1-food_insecure)*(0.21)+food_insecure*(0.3)</f>
        <v>0.22349999999999998</v>
      </c>
      <c r="N26" s="60">
        <f>(1-food_insecure)*(0.21)+food_insecure*(0.3)</f>
        <v>0.22349999999999998</v>
      </c>
      <c r="O26" s="60">
        <f>(1-food_insecure)*(0.21)+food_insecure*(0.3)</f>
        <v>0.22349999999999998</v>
      </c>
    </row>
    <row r="27" spans="1:15" ht="15.75" customHeight="1" x14ac:dyDescent="0.25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0.10897999076843266</v>
      </c>
      <c r="M27" s="60">
        <f>(1-food_insecure)*(0.3)</f>
        <v>0.255</v>
      </c>
      <c r="N27" s="60">
        <f>(1-food_insecure)*(0.3)</f>
        <v>0.255</v>
      </c>
      <c r="O27" s="60">
        <f>(1-food_insecure)*(0.3)</f>
        <v>0.255</v>
      </c>
    </row>
    <row r="28" spans="1:15" ht="15.75" customHeight="1" x14ac:dyDescent="0.25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0.57262748718261702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2.5600000000000001E-2</v>
      </c>
      <c r="D34" s="60">
        <f t="shared" si="3"/>
        <v>2.5600000000000001E-2</v>
      </c>
      <c r="E34" s="60">
        <f t="shared" si="3"/>
        <v>2.5600000000000001E-2</v>
      </c>
      <c r="F34" s="60">
        <f t="shared" si="3"/>
        <v>2.5600000000000001E-2</v>
      </c>
      <c r="G34" s="60">
        <f t="shared" si="3"/>
        <v>2.5600000000000001E-2</v>
      </c>
      <c r="H34" s="60">
        <f t="shared" si="3"/>
        <v>2.5600000000000001E-2</v>
      </c>
      <c r="I34" s="60">
        <f t="shared" si="3"/>
        <v>2.5600000000000001E-2</v>
      </c>
      <c r="J34" s="60">
        <f t="shared" si="3"/>
        <v>2.5600000000000001E-2</v>
      </c>
      <c r="K34" s="60">
        <f t="shared" si="3"/>
        <v>2.5600000000000001E-2</v>
      </c>
      <c r="L34" s="60">
        <f t="shared" si="3"/>
        <v>2.5600000000000001E-2</v>
      </c>
      <c r="M34" s="60">
        <f t="shared" si="3"/>
        <v>2.5600000000000001E-2</v>
      </c>
      <c r="N34" s="60">
        <f t="shared" si="3"/>
        <v>2.5600000000000001E-2</v>
      </c>
      <c r="O34" s="60">
        <f t="shared" si="3"/>
        <v>2.5600000000000001E-2</v>
      </c>
    </row>
    <row r="35" spans="2:15" ht="15.75" customHeight="1" x14ac:dyDescent="0.25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TNyR21N0Qit6gtrK0lQNwjB/mmPbumQrDDlNrXadBirW2GOJYgil7tSditf8zwBDPzzxg+aX7yLL6uDgik5d2w==" saltValue="LpQJyMNXppVCgol6qEmJ8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183</v>
      </c>
    </row>
    <row r="2" spans="1:1" x14ac:dyDescent="0.25">
      <c r="A2" s="8" t="s">
        <v>213</v>
      </c>
    </row>
    <row r="3" spans="1:1" x14ac:dyDescent="0.25">
      <c r="A3" s="8" t="s">
        <v>212</v>
      </c>
    </row>
    <row r="4" spans="1:1" x14ac:dyDescent="0.25">
      <c r="A4" s="8" t="s">
        <v>214</v>
      </c>
    </row>
  </sheetData>
  <sheetProtection algorithmName="SHA-512" hashValue="P3ChK1EDhwNQgvfYph7UIztcsFwznsr6DHCNsTzjgpIE1fn8x1cERU0CGmbC5p+2BzieLv7kHuIPQEEXc9PR1A==" saltValue="2hD8bQWgEppVOYj3imU/mg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4" customHeight="1" x14ac:dyDescent="0.3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vDwGLQ0x1BauQEGtV3r2XzM8hY4dtL0boZNxq988OFr5VMdkLngZqdNFlQyqMtwsKwukQs+oF/OLIaCatHrDOQ==" saltValue="zW9b0FCf6JSH1yHwG3WDI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3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xA2LPXh3CMXAzxEWgMEhNyG9Elbh6VizmQHCAD/C4k533N69KdkTs9BU7pLFAIQfn3zJgX7FNgvwFWIWTk1VRg==" saltValue="dUuIxjUhP5mqqL+so/sa0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5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5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5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5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5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5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5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5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5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5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5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5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5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5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5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5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5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5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5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5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5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5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5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5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5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5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Nwu1h7NusdIzTlSVXktEt9F+717uow0r1P2j0MfRwXW/NRvoFRivhcwtT4oK7nqPfj7dkYoKLDfmAXigCHgnFQ==" saltValue="p/EVGzhvDC9ZrpMal83Gt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5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5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5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5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5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5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5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5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5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5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5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5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5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49geIBzNnV57g9ilTMc/9Z2GlrQGZLXbDbvC6Z+hkQd8WtYG56qcZFacDUNBg5cqhBBK0zTgfqigJQYclDmPQA==" saltValue="r7vD3JYMcZSqvU4n0F6Dl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5">
      <c r="A2" s="5">
        <f>start_year</f>
        <v>2021</v>
      </c>
      <c r="B2" s="49">
        <v>565326.06400000001</v>
      </c>
      <c r="C2" s="49">
        <v>1570000</v>
      </c>
      <c r="D2" s="49">
        <v>2965000</v>
      </c>
      <c r="E2" s="49">
        <v>2410000</v>
      </c>
      <c r="F2" s="49">
        <v>1810000</v>
      </c>
      <c r="G2" s="17">
        <f t="shared" ref="G2:G11" si="0">C2+D2+E2+F2</f>
        <v>8755000</v>
      </c>
      <c r="H2" s="17">
        <f t="shared" ref="H2:H11" si="1">(B2 + stillbirth*B2/(1000-stillbirth))/(1-abortion)</f>
        <v>653828.84526249347</v>
      </c>
      <c r="I2" s="17">
        <f t="shared" ref="I2:I11" si="2">G2-H2</f>
        <v>8101171.1547375061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561516.625</v>
      </c>
      <c r="C3" s="50">
        <v>1554000</v>
      </c>
      <c r="D3" s="50">
        <v>2996000</v>
      </c>
      <c r="E3" s="50">
        <v>2465000</v>
      </c>
      <c r="F3" s="50">
        <v>1866000</v>
      </c>
      <c r="G3" s="17">
        <f t="shared" si="0"/>
        <v>8881000</v>
      </c>
      <c r="H3" s="17">
        <f t="shared" si="1"/>
        <v>649423.03194328328</v>
      </c>
      <c r="I3" s="17">
        <f t="shared" si="2"/>
        <v>8231576.968056717</v>
      </c>
    </row>
    <row r="4" spans="1:9" ht="15.75" customHeight="1" x14ac:dyDescent="0.25">
      <c r="A4" s="5">
        <f t="shared" si="3"/>
        <v>2023</v>
      </c>
      <c r="B4" s="49">
        <v>557437.29599999997</v>
      </c>
      <c r="C4" s="50">
        <v>1535000</v>
      </c>
      <c r="D4" s="50">
        <v>3019000</v>
      </c>
      <c r="E4" s="50">
        <v>2520000</v>
      </c>
      <c r="F4" s="50">
        <v>1923000</v>
      </c>
      <c r="G4" s="17">
        <f t="shared" si="0"/>
        <v>8997000</v>
      </c>
      <c r="H4" s="17">
        <f t="shared" si="1"/>
        <v>644705.07687387778</v>
      </c>
      <c r="I4" s="17">
        <f t="shared" si="2"/>
        <v>8352294.923126122</v>
      </c>
    </row>
    <row r="5" spans="1:9" ht="15.75" customHeight="1" x14ac:dyDescent="0.25">
      <c r="A5" s="5">
        <f t="shared" si="3"/>
        <v>2024</v>
      </c>
      <c r="B5" s="49">
        <v>553056.7350000001</v>
      </c>
      <c r="C5" s="50">
        <v>1512000</v>
      </c>
      <c r="D5" s="50">
        <v>3032000</v>
      </c>
      <c r="E5" s="50">
        <v>2575000</v>
      </c>
      <c r="F5" s="50">
        <v>1980000</v>
      </c>
      <c r="G5" s="17">
        <f t="shared" si="0"/>
        <v>9099000</v>
      </c>
      <c r="H5" s="17">
        <f t="shared" si="1"/>
        <v>639638.73140951607</v>
      </c>
      <c r="I5" s="17">
        <f t="shared" si="2"/>
        <v>8459361.2685904838</v>
      </c>
    </row>
    <row r="6" spans="1:9" ht="15.75" customHeight="1" x14ac:dyDescent="0.25">
      <c r="A6" s="5">
        <f t="shared" si="3"/>
        <v>2025</v>
      </c>
      <c r="B6" s="49">
        <v>548346.10400000005</v>
      </c>
      <c r="C6" s="50">
        <v>1484000</v>
      </c>
      <c r="D6" s="50">
        <v>3031000</v>
      </c>
      <c r="E6" s="50">
        <v>2627000</v>
      </c>
      <c r="F6" s="50">
        <v>2036000</v>
      </c>
      <c r="G6" s="17">
        <f t="shared" si="0"/>
        <v>9178000</v>
      </c>
      <c r="H6" s="17">
        <f t="shared" si="1"/>
        <v>634190.64291100367</v>
      </c>
      <c r="I6" s="17">
        <f t="shared" si="2"/>
        <v>8543809.3570889961</v>
      </c>
    </row>
    <row r="7" spans="1:9" ht="15.75" customHeight="1" x14ac:dyDescent="0.25">
      <c r="A7" s="5">
        <f t="shared" si="3"/>
        <v>2026</v>
      </c>
      <c r="B7" s="49">
        <v>541440.38080000004</v>
      </c>
      <c r="C7" s="50">
        <v>1448000</v>
      </c>
      <c r="D7" s="50">
        <v>3032000</v>
      </c>
      <c r="E7" s="50">
        <v>2682000</v>
      </c>
      <c r="F7" s="50">
        <v>2091000</v>
      </c>
      <c r="G7" s="17">
        <f t="shared" si="0"/>
        <v>9253000</v>
      </c>
      <c r="H7" s="17">
        <f t="shared" si="1"/>
        <v>626203.81670028355</v>
      </c>
      <c r="I7" s="17">
        <f t="shared" si="2"/>
        <v>8626796.1832997166</v>
      </c>
    </row>
    <row r="8" spans="1:9" ht="15.75" customHeight="1" x14ac:dyDescent="0.25">
      <c r="A8" s="5">
        <f t="shared" si="3"/>
        <v>2027</v>
      </c>
      <c r="B8" s="49">
        <v>534171.14400000009</v>
      </c>
      <c r="C8" s="50">
        <v>1406000</v>
      </c>
      <c r="D8" s="50">
        <v>3022000</v>
      </c>
      <c r="E8" s="50">
        <v>2733000</v>
      </c>
      <c r="F8" s="50">
        <v>2148000</v>
      </c>
      <c r="G8" s="17">
        <f t="shared" si="0"/>
        <v>9309000</v>
      </c>
      <c r="H8" s="17">
        <f t="shared" si="1"/>
        <v>617796.56820150639</v>
      </c>
      <c r="I8" s="17">
        <f t="shared" si="2"/>
        <v>8691203.4317984935</v>
      </c>
    </row>
    <row r="9" spans="1:9" ht="15.75" customHeight="1" x14ac:dyDescent="0.25">
      <c r="A9" s="5">
        <f t="shared" si="3"/>
        <v>2028</v>
      </c>
      <c r="B9" s="49">
        <v>526548.40520000015</v>
      </c>
      <c r="C9" s="50">
        <v>1362000</v>
      </c>
      <c r="D9" s="50">
        <v>3000000</v>
      </c>
      <c r="E9" s="50">
        <v>2781000</v>
      </c>
      <c r="F9" s="50">
        <v>2202000</v>
      </c>
      <c r="G9" s="17">
        <f t="shared" si="0"/>
        <v>9345000</v>
      </c>
      <c r="H9" s="17">
        <f t="shared" si="1"/>
        <v>608980.47634811269</v>
      </c>
      <c r="I9" s="17">
        <f t="shared" si="2"/>
        <v>8736019.5236518867</v>
      </c>
    </row>
    <row r="10" spans="1:9" ht="15.75" customHeight="1" x14ac:dyDescent="0.25">
      <c r="A10" s="5">
        <f t="shared" si="3"/>
        <v>2029</v>
      </c>
      <c r="B10" s="49">
        <v>518550.67040000012</v>
      </c>
      <c r="C10" s="50">
        <v>1326000</v>
      </c>
      <c r="D10" s="50">
        <v>2966000</v>
      </c>
      <c r="E10" s="50">
        <v>2827000</v>
      </c>
      <c r="F10" s="50">
        <v>2257000</v>
      </c>
      <c r="G10" s="17">
        <f t="shared" si="0"/>
        <v>9376000</v>
      </c>
      <c r="H10" s="17">
        <f t="shared" si="1"/>
        <v>599730.68221691612</v>
      </c>
      <c r="I10" s="17">
        <f t="shared" si="2"/>
        <v>8776269.3177830838</v>
      </c>
    </row>
    <row r="11" spans="1:9" ht="15.75" customHeight="1" x14ac:dyDescent="0.25">
      <c r="A11" s="5">
        <f t="shared" si="3"/>
        <v>2030</v>
      </c>
      <c r="B11" s="49">
        <v>510190.17599999998</v>
      </c>
      <c r="C11" s="50">
        <v>1303000</v>
      </c>
      <c r="D11" s="50">
        <v>2921000</v>
      </c>
      <c r="E11" s="50">
        <v>2865000</v>
      </c>
      <c r="F11" s="50">
        <v>2312000</v>
      </c>
      <c r="G11" s="17">
        <f t="shared" si="0"/>
        <v>9401000</v>
      </c>
      <c r="H11" s="17">
        <f t="shared" si="1"/>
        <v>590061.3378376771</v>
      </c>
      <c r="I11" s="17">
        <f t="shared" si="2"/>
        <v>8810938.6621623226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kK/ed0niCSO4gEeGdqhuDGAdQjFQS+GzennPpZmlCJXvwWPHMiVTlOI3yEXhfZtK+mrLUfplr8GVPZEPtO3uAQ==" saltValue="j7qeyATwhwOOM5xrQZ7kQQ==" spinCount="100000" sheet="1" objects="1" scenarios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ht="13" customHeight="1" x14ac:dyDescent="0.3">
      <c r="A2" s="4" t="s">
        <v>236</v>
      </c>
      <c r="B2" s="103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78</v>
      </c>
      <c r="C5" s="8" t="s">
        <v>150</v>
      </c>
      <c r="D5" s="88">
        <f>IF(ISBLANK('Distribución de lactancia'!$C$2),1.56,(1.56-'Distribución de lactancia'!$C$2)/(1-'Distribución de lactancia'!$C$2))</f>
        <v>4.3074932411685696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149</v>
      </c>
      <c r="D6" s="88">
        <f>IF(ISBLANK('Distribución de lactancia'!$C$2),1.56,(1.56-'Distribución de lactancia'!$C$2)/(1-'Distribución de lactancia'!$C$2))</f>
        <v>4.3074932411685696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74</v>
      </c>
      <c r="C8" s="8" t="s">
        <v>150</v>
      </c>
      <c r="D8" s="88">
        <v>1</v>
      </c>
      <c r="E8" s="88">
        <f>IF(ISBLANK('Distribución de lactancia'!$D$2),1.56,(1.56-'Distribución de lactancia'!$D$2)/(1-'Distribución de lactancia'!$D$2))</f>
        <v>2.35307299306898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149</v>
      </c>
      <c r="D9" s="88">
        <v>1</v>
      </c>
      <c r="E9" s="88">
        <f>IF(ISBLANK('Distribución de lactancia'!$D$2),1.56,(1.56-'Distribución de lactancia'!$D$2)/(1-'Distribución de lactancia'!$D$2))</f>
        <v>2.35307299306898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77</v>
      </c>
      <c r="C11" s="8" t="s">
        <v>150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149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149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242</v>
      </c>
      <c r="B19" s="103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239</v>
      </c>
      <c r="B36" s="103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ht="13" customHeight="1" x14ac:dyDescent="0.3">
      <c r="A55" s="4" t="s">
        <v>237</v>
      </c>
      <c r="B55" s="103" t="s">
        <v>104</v>
      </c>
      <c r="C55" s="8" t="s">
        <v>150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149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155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78</v>
      </c>
      <c r="C58" s="8" t="s">
        <v>150</v>
      </c>
      <c r="D58" s="88">
        <f>IF(ISBLANK('Distribución de lactancia'!$C$2),1.37,(1.37-'Distribución de lactancia'!$C$2)/(1-'Distribución de lactancia'!$C$2))</f>
        <v>3.1853080343435196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149</v>
      </c>
      <c r="D59" s="88">
        <f>IF(ISBLANK('Distribución de lactancia'!$C$2),1.37,(1.37-'Distribución de lactancia'!$C$2)/(1-'Distribución de lactancia'!$C$2))</f>
        <v>3.1853080343435196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155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74</v>
      </c>
      <c r="C61" s="8" t="s">
        <v>150</v>
      </c>
      <c r="D61" s="88">
        <f t="shared" si="2"/>
        <v>1</v>
      </c>
      <c r="E61" s="88">
        <f>IF(ISBLANK('Distribución de lactancia'!$D$2),1.37,(1.37-'Distribución de lactancia'!$D$2)/(1-'Distribución de lactancia'!$D$2))</f>
        <v>1.893994656134862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149</v>
      </c>
      <c r="D62" s="88">
        <f t="shared" si="2"/>
        <v>1</v>
      </c>
      <c r="E62" s="88">
        <f>IF(ISBLANK('Distribución de lactancia'!$D$2),1.37,(1.37-'Distribución de lactancia'!$D$2)/(1-'Distribución de lactancia'!$D$2))</f>
        <v>1.893994656134862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155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77</v>
      </c>
      <c r="C64" s="8" t="s">
        <v>150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149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155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75</v>
      </c>
      <c r="C67" s="8" t="s">
        <v>150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149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155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148</v>
      </c>
      <c r="C70" s="8" t="s">
        <v>155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243</v>
      </c>
      <c r="B72" s="103" t="s">
        <v>104</v>
      </c>
      <c r="C72" s="8" t="s">
        <v>150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149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155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78</v>
      </c>
      <c r="C75" s="8" t="s">
        <v>150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149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155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74</v>
      </c>
      <c r="C78" s="8" t="s">
        <v>150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149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155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77</v>
      </c>
      <c r="C81" s="8" t="s">
        <v>150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149</v>
      </c>
      <c r="D82" s="88">
        <f t="shared" ref="D82:H87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155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75</v>
      </c>
      <c r="C84" s="8" t="s">
        <v>150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149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155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148</v>
      </c>
      <c r="C87" s="8" t="s">
        <v>155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240</v>
      </c>
      <c r="B89" s="103" t="s">
        <v>104</v>
      </c>
      <c r="C89" s="8" t="s">
        <v>150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149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155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78</v>
      </c>
      <c r="C92" s="8" t="s">
        <v>150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149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155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74</v>
      </c>
      <c r="C95" s="8" t="s">
        <v>150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149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155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77</v>
      </c>
      <c r="C98" s="8" t="s">
        <v>150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149</v>
      </c>
      <c r="D99" s="88">
        <f t="shared" ref="D99:H104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155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75</v>
      </c>
      <c r="C101" s="8" t="s">
        <v>150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149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155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148</v>
      </c>
      <c r="C104" s="8" t="s">
        <v>155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ht="13" customHeight="1" x14ac:dyDescent="0.3">
      <c r="A108" s="4" t="s">
        <v>238</v>
      </c>
      <c r="B108" s="103" t="s">
        <v>104</v>
      </c>
      <c r="C108" s="8" t="s">
        <v>150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149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155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78</v>
      </c>
      <c r="C111" s="8" t="s">
        <v>150</v>
      </c>
      <c r="D111" s="88">
        <f>IF(ISBLANK('Distribución de lactancia'!$C$2),1.77,(1.77-'Distribución de lactancia'!$C$2)/(1-'Distribución de lactancia'!$C$2))</f>
        <v>5.5478032066067824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149</v>
      </c>
      <c r="D112" s="88">
        <f>IF(ISBLANK('Distribución de lactancia'!$C$2),1.77,(1.77-'Distribución de lactancia'!$C$2)/(1-'Distribución de lactancia'!$C$2))</f>
        <v>5.5478032066067824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155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74</v>
      </c>
      <c r="C114" s="8" t="s">
        <v>150</v>
      </c>
      <c r="D114" s="88">
        <f t="shared" si="12"/>
        <v>1</v>
      </c>
      <c r="E114" s="88">
        <f>IF(ISBLANK('Distribución de lactancia'!$D$2),1.77,(1.77-'Distribución de lactancia'!$D$2)/(1-'Distribución de lactancia'!$D$2))</f>
        <v>2.8604753654698474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149</v>
      </c>
      <c r="D115" s="88">
        <f t="shared" si="12"/>
        <v>1</v>
      </c>
      <c r="E115" s="88">
        <f>IF(ISBLANK('Distribución de lactancia'!$D$2),1.77,(1.77-'Distribución de lactancia'!$D$2)/(1-'Distribución de lactancia'!$D$2))</f>
        <v>2.8604753654698474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155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77</v>
      </c>
      <c r="C117" s="8" t="s">
        <v>150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149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155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75</v>
      </c>
      <c r="C120" s="8" t="s">
        <v>150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149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155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148</v>
      </c>
      <c r="C123" s="8" t="s">
        <v>155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244</v>
      </c>
      <c r="B125" s="103" t="s">
        <v>104</v>
      </c>
      <c r="C125" s="8" t="s">
        <v>150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149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155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78</v>
      </c>
      <c r="C128" s="8" t="s">
        <v>150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149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155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74</v>
      </c>
      <c r="C131" s="8" t="s">
        <v>150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149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155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77</v>
      </c>
      <c r="C134" s="8" t="s">
        <v>150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149</v>
      </c>
      <c r="D135" s="88">
        <f t="shared" ref="D135:H140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155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75</v>
      </c>
      <c r="C137" s="8" t="s">
        <v>150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149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155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148</v>
      </c>
      <c r="C140" s="8" t="s">
        <v>155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241</v>
      </c>
      <c r="B142" s="103" t="s">
        <v>104</v>
      </c>
      <c r="C142" s="8" t="s">
        <v>150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149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155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78</v>
      </c>
      <c r="C145" s="8" t="s">
        <v>150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149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155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74</v>
      </c>
      <c r="C148" s="8" t="s">
        <v>150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149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155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77</v>
      </c>
      <c r="C151" s="8" t="s">
        <v>150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149</v>
      </c>
      <c r="D152" s="88">
        <f t="shared" ref="D152:H157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155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75</v>
      </c>
      <c r="C154" s="8" t="s">
        <v>150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149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155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148</v>
      </c>
      <c r="C157" s="8" t="s">
        <v>155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qOg9OPebC4skOtuRZ7KMR+Dc1RwJde3fA/LC/Hamev96Sh4l63Zb9DlcjxUoAKKS8wmYhs0RJDxEYWGgRFfIvw==" saltValue="7VoEFXozA/+0J8Z2OFOK1w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C13" sqref="C13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248</v>
      </c>
    </row>
    <row r="2" spans="1:6" ht="15.75" customHeight="1" x14ac:dyDescent="0.3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3">
      <c r="A3" s="4" t="s">
        <v>255</v>
      </c>
      <c r="B3" s="14"/>
      <c r="C3" s="71"/>
      <c r="D3" s="72"/>
      <c r="E3" s="72"/>
      <c r="F3" s="72"/>
    </row>
    <row r="4" spans="1:6" ht="15.75" customHeight="1" x14ac:dyDescent="0.25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261</v>
      </c>
      <c r="C11" s="74"/>
      <c r="D11" s="75"/>
      <c r="E11" s="75"/>
      <c r="F11" s="75"/>
    </row>
    <row r="12" spans="1:6" ht="15.75" customHeight="1" x14ac:dyDescent="0.3">
      <c r="A12" s="4" t="s">
        <v>249</v>
      </c>
      <c r="C12" s="73"/>
      <c r="D12" s="64"/>
      <c r="E12" s="64"/>
      <c r="F12" s="64"/>
    </row>
    <row r="13" spans="1:6" ht="15.75" customHeight="1" x14ac:dyDescent="0.25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5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97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95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91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248</v>
      </c>
    </row>
    <row r="29" spans="1:6" ht="15.75" customHeight="1" x14ac:dyDescent="0.3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3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5">
      <c r="B31" s="5" t="s">
        <v>27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63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10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11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253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3">
      <c r="A39" s="4" t="s">
        <v>250</v>
      </c>
      <c r="C39" s="73"/>
      <c r="D39" s="64"/>
      <c r="E39" s="64"/>
      <c r="F39" s="64"/>
    </row>
    <row r="40" spans="1:6" ht="15.75" customHeight="1" x14ac:dyDescent="0.25">
      <c r="B40" s="11" t="s">
        <v>265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246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262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5">
      <c r="B45" s="5" t="s">
        <v>93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97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95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91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96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98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92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94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248</v>
      </c>
    </row>
    <row r="56" spans="1:6" ht="15.75" customHeight="1" x14ac:dyDescent="0.3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27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63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10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11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254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3">
      <c r="A66" s="4" t="s">
        <v>251</v>
      </c>
      <c r="C66" s="73"/>
      <c r="D66" s="64"/>
      <c r="E66" s="64"/>
      <c r="F66" s="64"/>
    </row>
    <row r="67" spans="1:6" ht="15.75" customHeight="1" x14ac:dyDescent="0.25">
      <c r="B67" s="11" t="s">
        <v>266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247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263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5">
      <c r="B72" s="5" t="s">
        <v>93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97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95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91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96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98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92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94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fh3DB2SQt+jRbGl4W9mNBLCkqLQi24oYp9DEycn87tvTUoiXfyvhYy/s6TCJ5CzdvRSIvt9583eeuJ6ZQccaoQ==" saltValue="yb0Gkdzm4zUT2tK/P+D/g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278</v>
      </c>
    </row>
    <row r="2" spans="1:16" ht="13" customHeight="1" x14ac:dyDescent="0.3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279</v>
      </c>
    </row>
    <row r="29" spans="1:16" ht="13" customHeight="1" x14ac:dyDescent="0.3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276</v>
      </c>
    </row>
    <row r="56" spans="1:16" ht="26" customHeight="1" x14ac:dyDescent="0.3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277</v>
      </c>
    </row>
    <row r="65" spans="1:16" ht="26" customHeight="1" x14ac:dyDescent="0.3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93</v>
      </c>
      <c r="C66" s="3" t="s">
        <v>124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97</v>
      </c>
      <c r="C70" s="3" t="s">
        <v>124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95</v>
      </c>
      <c r="C74" s="3" t="s">
        <v>124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ht="13" customHeight="1" x14ac:dyDescent="0.3">
      <c r="A113" s="4"/>
      <c r="B113" s="8" t="s">
        <v>84</v>
      </c>
      <c r="C113" s="3" t="s">
        <v>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273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274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272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102</v>
      </c>
      <c r="C117" s="3" t="s">
        <v>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273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274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272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90</v>
      </c>
      <c r="C121" s="3" t="s">
        <v>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273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274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272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3</v>
      </c>
      <c r="C125" s="3" t="s">
        <v>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273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274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272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2</v>
      </c>
      <c r="C129" s="3" t="s">
        <v>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273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274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272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99</v>
      </c>
      <c r="C133" s="3" t="s">
        <v>7</v>
      </c>
      <c r="D133" s="91">
        <f t="shared" ref="D133:H136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273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274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272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ht="13" customHeight="1" x14ac:dyDescent="0.3">
      <c r="A140" s="4"/>
      <c r="B140" s="8" t="s">
        <v>84</v>
      </c>
      <c r="C140" s="3" t="s">
        <v>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273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6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207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102</v>
      </c>
      <c r="C144" s="3" t="s">
        <v>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273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6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207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90</v>
      </c>
      <c r="C148" s="3" t="s">
        <v>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273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6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207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3</v>
      </c>
      <c r="C152" s="3" t="s">
        <v>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273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6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207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2</v>
      </c>
      <c r="C156" s="3" t="s">
        <v>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273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6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207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99</v>
      </c>
      <c r="C160" s="3" t="s">
        <v>7</v>
      </c>
      <c r="D160" s="91">
        <f t="shared" ref="D160:H163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273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6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207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ht="13" customHeight="1" x14ac:dyDescent="0.3">
      <c r="A167" s="4"/>
      <c r="B167" s="8" t="s">
        <v>81</v>
      </c>
      <c r="C167" s="3" t="s">
        <v>275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268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89</v>
      </c>
      <c r="C169" s="3" t="s">
        <v>275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268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103</v>
      </c>
      <c r="C171" s="3" t="s">
        <v>275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268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ht="13" customHeight="1" x14ac:dyDescent="0.3">
      <c r="A176" s="82"/>
      <c r="B176" s="8" t="s">
        <v>93</v>
      </c>
      <c r="C176" s="3" t="s">
        <v>124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127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126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125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97</v>
      </c>
      <c r="C180" s="3" t="s">
        <v>124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127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126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125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95</v>
      </c>
      <c r="C184" s="3" t="s">
        <v>124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127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126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125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96</v>
      </c>
      <c r="C188" s="3" t="s">
        <v>124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127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126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125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84</v>
      </c>
      <c r="C192" s="3" t="s">
        <v>124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127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126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125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102</v>
      </c>
      <c r="C196" s="3" t="s">
        <v>124</v>
      </c>
      <c r="D196" s="91">
        <f t="shared" ref="D196:G211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127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126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125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90</v>
      </c>
      <c r="C200" s="3" t="s">
        <v>124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127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126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125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2</v>
      </c>
      <c r="C204" s="3" t="s">
        <v>124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127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126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125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101</v>
      </c>
      <c r="C208" s="3" t="s">
        <v>124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127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126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125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ht="13" customHeight="1" x14ac:dyDescent="0.3">
      <c r="A215" s="4"/>
      <c r="C215" s="3" t="s">
        <v>124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127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126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125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245</v>
      </c>
      <c r="H220" s="92"/>
    </row>
    <row r="221" spans="1:9" ht="13" customHeight="1" x14ac:dyDescent="0.3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ht="13" customHeight="1" x14ac:dyDescent="0.3">
      <c r="A223" s="4"/>
      <c r="B223" s="8" t="s">
        <v>84</v>
      </c>
      <c r="C223" s="3" t="s">
        <v>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273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274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272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102</v>
      </c>
      <c r="C227" s="3" t="s">
        <v>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273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274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272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90</v>
      </c>
      <c r="C231" s="3" t="s">
        <v>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273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274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272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3</v>
      </c>
      <c r="C235" s="3" t="s">
        <v>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273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274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272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2</v>
      </c>
      <c r="C239" s="3" t="s">
        <v>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273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274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272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99</v>
      </c>
      <c r="C243" s="3" t="s">
        <v>7</v>
      </c>
      <c r="D243" s="91">
        <f t="shared" ref="D243:H246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273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274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272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ht="13" customHeight="1" x14ac:dyDescent="0.3">
      <c r="A250" s="4"/>
      <c r="B250" s="8" t="s">
        <v>84</v>
      </c>
      <c r="C250" s="3" t="s">
        <v>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273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6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207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102</v>
      </c>
      <c r="C254" s="3" t="s">
        <v>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273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6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207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90</v>
      </c>
      <c r="C258" s="3" t="s">
        <v>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273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6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207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3</v>
      </c>
      <c r="C262" s="3" t="s">
        <v>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273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6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207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2</v>
      </c>
      <c r="C266" s="3" t="s">
        <v>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273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6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207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99</v>
      </c>
      <c r="C270" s="3" t="s">
        <v>7</v>
      </c>
      <c r="D270" s="91">
        <f t="shared" ref="D270:H273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273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6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207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ht="13" customHeight="1" x14ac:dyDescent="0.3">
      <c r="A277" s="4"/>
      <c r="B277" s="8" t="s">
        <v>81</v>
      </c>
      <c r="C277" s="3" t="s">
        <v>275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268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89</v>
      </c>
      <c r="C279" s="3" t="s">
        <v>275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268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103</v>
      </c>
      <c r="C281" s="3" t="s">
        <v>275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268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ht="13" customHeight="1" x14ac:dyDescent="0.3">
      <c r="A286" s="82"/>
      <c r="B286" s="8" t="s">
        <v>93</v>
      </c>
      <c r="C286" s="3" t="s">
        <v>124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127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126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125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97</v>
      </c>
      <c r="C290" s="3" t="s">
        <v>124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127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126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125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95</v>
      </c>
      <c r="C294" s="3" t="s">
        <v>124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127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126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125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96</v>
      </c>
      <c r="C298" s="3" t="s">
        <v>124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127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126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125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84</v>
      </c>
      <c r="C302" s="3" t="s">
        <v>124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127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126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125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102</v>
      </c>
      <c r="C306" s="3" t="s">
        <v>124</v>
      </c>
      <c r="D306" s="91">
        <f t="shared" ref="D306:G321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127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126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125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90</v>
      </c>
      <c r="C310" s="3" t="s">
        <v>124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127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126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125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2</v>
      </c>
      <c r="C314" s="3" t="s">
        <v>124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127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126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125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101</v>
      </c>
      <c r="C318" s="3" t="s">
        <v>124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127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126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125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ht="13" customHeight="1" x14ac:dyDescent="0.3">
      <c r="A325" s="4"/>
      <c r="C325" s="3" t="s">
        <v>124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127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126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125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dNvim6Dx3IzJ5PnLOB/9UrLiX1vbvXWWVvig2YI23dox2grc7B/VsBuuPttKtIwXqqbjW3pLSsVp9xIKry3QFQ==" saltValue="Vvmb5Y0JLOO4giACD8BoN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313</v>
      </c>
    </row>
    <row r="2" spans="1:7" ht="14.25" customHeight="1" x14ac:dyDescent="0.3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5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283</v>
      </c>
    </row>
    <row r="6" spans="1:7" ht="14.25" customHeight="1" x14ac:dyDescent="0.25">
      <c r="B6" s="5" t="s">
        <v>193</v>
      </c>
      <c r="C6" s="90">
        <v>1</v>
      </c>
      <c r="D6" s="90">
        <v>1</v>
      </c>
      <c r="E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0.59144058214160633</v>
      </c>
      <c r="F6" s="90">
        <f>IF(ISBLANK('Distribución estado nutricional'!$E$4),0.64, (0.64*SUM('Distribución estado nutricional'!$E$4:$E$5)/(1-0.64*SUM('Distribución estado nutricional'!$E$4:$E$5)))/ (SUM('Distribución estado nutricional'!$E$4:$E$5)/(1-SUM('Distribución estado nutricional'!$E$4:$E$5))))</f>
        <v>0.59144058214160633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0.85655783133170416</v>
      </c>
      <c r="F7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0.85655783133170416</v>
      </c>
      <c r="G7" s="90">
        <v>1</v>
      </c>
    </row>
    <row r="8" spans="1:7" ht="14.25" customHeight="1" x14ac:dyDescent="0.25">
      <c r="B8" s="5" t="s">
        <v>204</v>
      </c>
      <c r="C8" s="90">
        <v>1</v>
      </c>
      <c r="D8" s="90">
        <v>1</v>
      </c>
      <c r="E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0.85655783133170416</v>
      </c>
      <c r="F8" s="90">
        <f>IF(ISBLANK('Distribución estado nutricional'!$E$4),0.88, (0.88*SUM('Distribución estado nutricional'!$E$4:$E$5)/(1-0.88*SUM('Distribución estado nutricional'!$E$4:$E$5)))/ (SUM('Distribución estado nutricional'!$E$4:$E$5)/(1-SUM('Distribución estado nutricional'!$E$4:$E$5))))</f>
        <v>0.85655783133170416</v>
      </c>
      <c r="G8" s="90">
        <v>1</v>
      </c>
    </row>
    <row r="9" spans="1:7" ht="14.25" customHeight="1" x14ac:dyDescent="0.25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307</v>
      </c>
    </row>
    <row r="12" spans="1:7" ht="14.25" customHeight="1" x14ac:dyDescent="0.3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314</v>
      </c>
    </row>
    <row r="15" spans="1:7" ht="14.25" customHeight="1" x14ac:dyDescent="0.3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310</v>
      </c>
    </row>
    <row r="20" spans="1:7" s="14" customFormat="1" ht="14.25" customHeight="1" x14ac:dyDescent="0.3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5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313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5">
      <c r="B26" s="11" t="s">
        <v>301</v>
      </c>
      <c r="C26" s="90" t="s">
        <v>8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287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284</v>
      </c>
    </row>
    <row r="29" spans="1:7" x14ac:dyDescent="0.25">
      <c r="B29" s="5" t="s">
        <v>315</v>
      </c>
      <c r="C29" s="90">
        <f t="shared" ref="C29:D32" si="0">IF(C6=1,1,C6*0.9)</f>
        <v>1</v>
      </c>
      <c r="D29" s="90">
        <f t="shared" si="0"/>
        <v>1</v>
      </c>
      <c r="E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0.39016889467390159</v>
      </c>
      <c r="F29" s="90">
        <f>IF(ISBLANK('Distribución estado nutricional'!$E$4),0.44, (0.44*SUM('Distribución estado nutricional'!$E$4:$E$5)/(1-0.44*SUM('Distribución estado nutricional'!$E$4:$E$5)))/ (SUM('Distribución estado nutricional'!$E$4:$E$5)/(1-SUM('Distribución estado nutricional'!$E$4:$E$5))))</f>
        <v>0.39016889467390159</v>
      </c>
      <c r="G29" s="90">
        <f>IF(G6=1,1,G6*0.9)</f>
        <v>1</v>
      </c>
    </row>
    <row r="30" spans="1:7" x14ac:dyDescent="0.25">
      <c r="B30" s="5" t="s">
        <v>305</v>
      </c>
      <c r="C30" s="90">
        <f t="shared" si="0"/>
        <v>1</v>
      </c>
      <c r="D30" s="90">
        <f t="shared" si="0"/>
        <v>1</v>
      </c>
      <c r="E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0.82188349291511076</v>
      </c>
      <c r="F30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0.82188349291511076</v>
      </c>
      <c r="G30" s="90">
        <f>IF(G7=1,1,G7*0.9)</f>
        <v>1</v>
      </c>
    </row>
    <row r="31" spans="1:7" x14ac:dyDescent="0.25">
      <c r="B31" s="5" t="s">
        <v>319</v>
      </c>
      <c r="C31" s="90">
        <f t="shared" si="0"/>
        <v>1</v>
      </c>
      <c r="D31" s="90">
        <f t="shared" si="0"/>
        <v>1</v>
      </c>
      <c r="E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0.82188349291511076</v>
      </c>
      <c r="F31" s="90">
        <f>IF(ISBLANK('Distribución estado nutricional'!$E$4),0.85, (0.85*SUM('Distribución estado nutricional'!$E$4:$E$5)/(1-0.85*SUM('Distribución estado nutricional'!$E$4:$E$5)))/ (SUM('Distribución estado nutricional'!$E$4:$E$5)/(1-SUM('Distribución estado nutricional'!$E$4:$E$5))))</f>
        <v>0.82188349291511076</v>
      </c>
      <c r="G31" s="90">
        <f>IF(G8=1,1,G8*0.9)</f>
        <v>1</v>
      </c>
    </row>
    <row r="32" spans="1:7" x14ac:dyDescent="0.25">
      <c r="B32" s="5" t="s">
        <v>317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308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314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282</v>
      </c>
      <c r="B38" s="5" t="s">
        <v>295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292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105</v>
      </c>
      <c r="B40" s="11" t="s">
        <v>298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311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5">
      <c r="B44" s="11" t="s">
        <v>289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245</v>
      </c>
    </row>
    <row r="47" spans="1:7" ht="13" customHeight="1" x14ac:dyDescent="0.3">
      <c r="A47" s="67" t="s">
        <v>313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5">
      <c r="B49" s="11" t="s">
        <v>302</v>
      </c>
      <c r="C49" s="90" t="s">
        <v>8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288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285</v>
      </c>
    </row>
    <row r="52" spans="1:7" x14ac:dyDescent="0.25">
      <c r="B52" s="5" t="s">
        <v>316</v>
      </c>
      <c r="C52" s="90">
        <f t="shared" ref="C52:D55" si="3">IF(C6=1,1,C6*1.1)</f>
        <v>1</v>
      </c>
      <c r="D52" s="90">
        <f t="shared" si="3"/>
        <v>1</v>
      </c>
      <c r="E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0.90351513968727704</v>
      </c>
      <c r="F52" s="90">
        <f>IF(ISBLANK('Distribución estado nutricional'!$E$4),0.92, (0.92*SUM('Distribución estado nutricional'!$E$4:$E$5)/(1-0.92*SUM('Distribución estado nutricional'!$E$4:$E$5)))/ (SUM('Distribución estado nutricional'!$E$4:$E$5)/(1-SUM('Distribución estado nutricional'!$E$4:$E$5))))</f>
        <v>0.90351513968727704</v>
      </c>
      <c r="G52" s="90">
        <f>IF(G6=1,1,G6*1.1)</f>
        <v>1</v>
      </c>
    </row>
    <row r="53" spans="1:7" x14ac:dyDescent="0.25">
      <c r="B53" s="5" t="s">
        <v>306</v>
      </c>
      <c r="C53" s="90">
        <f t="shared" si="3"/>
        <v>1</v>
      </c>
      <c r="D53" s="90">
        <f t="shared" si="3"/>
        <v>1</v>
      </c>
      <c r="E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0.89169710796973334</v>
      </c>
      <c r="F53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0.89169710796973334</v>
      </c>
      <c r="G53" s="90">
        <f>IF(G7=1,1,G7*1.1)</f>
        <v>1</v>
      </c>
    </row>
    <row r="54" spans="1:7" x14ac:dyDescent="0.25">
      <c r="B54" s="5" t="s">
        <v>320</v>
      </c>
      <c r="C54" s="90">
        <f t="shared" si="3"/>
        <v>1</v>
      </c>
      <c r="D54" s="90">
        <f t="shared" si="3"/>
        <v>1</v>
      </c>
      <c r="E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0.89169710796973334</v>
      </c>
      <c r="F54" s="90">
        <f>IF(ISBLANK('Distribución estado nutricional'!$E$4),0.91, (0.91*SUM('Distribución estado nutricional'!$E$4:$E$5)/(1-0.91*SUM('Distribución estado nutricional'!$E$4:$E$5)))/ (SUM('Distribución estado nutricional'!$E$4:$E$5)/(1-SUM('Distribución estado nutricional'!$E$4:$E$5))))</f>
        <v>0.89169710796973334</v>
      </c>
      <c r="G54" s="90">
        <f>IF(G8=1,1,G8*1.1)</f>
        <v>1</v>
      </c>
    </row>
    <row r="55" spans="1:7" x14ac:dyDescent="0.25">
      <c r="B55" s="5" t="s">
        <v>318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309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314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282</v>
      </c>
      <c r="B61" s="5" t="s">
        <v>296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293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105</v>
      </c>
      <c r="B63" s="11" t="s">
        <v>299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312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5">
      <c r="B67" s="11" t="s">
        <v>290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vQ6TI8vRQN76sW5UB9131LSGErowF+R0IBlxDhHc/SEDeNLj2QZe0RlGnYCNKuB5UF2Mx6OqgnhZRrV9g3TOPA==" saltValue="nbBYZFIj7ogo7HRxx+eHP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5">
      <c r="A2" s="5" t="s">
        <v>165</v>
      </c>
      <c r="B2" s="5" t="s">
        <v>322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178</v>
      </c>
      <c r="B4" s="5" t="s">
        <v>322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179</v>
      </c>
      <c r="B6" s="5" t="s">
        <v>322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191</v>
      </c>
      <c r="B12" s="5" t="s">
        <v>322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5">
      <c r="A17" s="5" t="s">
        <v>165</v>
      </c>
      <c r="B17" s="5" t="s">
        <v>322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178</v>
      </c>
      <c r="B19" s="5" t="s">
        <v>322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179</v>
      </c>
      <c r="B21" s="5" t="s">
        <v>322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180</v>
      </c>
      <c r="B23" s="5" t="s">
        <v>322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322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191</v>
      </c>
      <c r="B27" s="5" t="s">
        <v>322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245</v>
      </c>
    </row>
    <row r="31" spans="1:6" ht="15.75" customHeight="1" x14ac:dyDescent="0.3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5">
      <c r="A32" s="5" t="s">
        <v>165</v>
      </c>
      <c r="B32" s="5" t="s">
        <v>322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178</v>
      </c>
      <c r="B34" s="5" t="s">
        <v>322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179</v>
      </c>
      <c r="B36" s="5" t="s">
        <v>322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180</v>
      </c>
      <c r="B38" s="5" t="s">
        <v>322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322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191</v>
      </c>
      <c r="B42" s="5" t="s">
        <v>322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LkKWqj6100RmvJqKxOXUmn4g1g+y+yMcjFEPpURhBTjpPtEZkT1Z37MO3zaCmESvyFXXQlqvMNC17YiLbcLjug==" saltValue="wXm/7mwmxC52XeHBV6W/Q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ht="13" customHeight="1" x14ac:dyDescent="0.3">
      <c r="A2" s="4" t="s">
        <v>326</v>
      </c>
    </row>
    <row r="3" spans="1:15" x14ac:dyDescent="0.25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204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171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172</v>
      </c>
      <c r="C19" s="90">
        <v>1</v>
      </c>
      <c r="D19" s="90">
        <v>1</v>
      </c>
      <c r="E19" s="90">
        <f>IF(ISBLANK('Distribución estado nutricional'!E$14),0.72,(0.72*'Distribución estado nutricional'!E$14/(1-0.72*'Distribución estado nutricional'!E$14))
/ ('Distribución estado nutricional'!E$14/(1-'Distribución estado nutricional'!E$14)))</f>
        <v>0.3377923762880265</v>
      </c>
      <c r="F19" s="90">
        <f>IF(ISBLANK('Distribución estado nutricional'!F$14),0.72,(0.72*'Distribución estado nutricional'!F$14/(1-0.72*'Distribución estado nutricional'!F$14))
/ ('Distribución estado nutricional'!F$14/(1-'Distribución estado nutricional'!F$14)))</f>
        <v>0.57493642226433728</v>
      </c>
      <c r="G19" s="90">
        <f>IF(ISBLANK('Distribución estado nutricional'!G$14),0.72,(0.72*'Distribución estado nutricional'!G$14/(1-0.72*'Distribución estado nutricional'!G$14))
/ ('Distribución estado nutricional'!G$14/(1-'Distribución estado nutricional'!G$14)))</f>
        <v>0.57493642226433728</v>
      </c>
      <c r="H19" s="90">
        <f>IF(ISBLANK('Distribución estado nutricional'!H$14),0.72,(0.72*'Distribución estado nutricional'!H$14/(1-0.72*'Distribución estado nutricional'!H$14))
/ ('Distribución estado nutricional'!H$14/(1-'Distribución estado nutricional'!H$14)))</f>
        <v>0.60674157303370779</v>
      </c>
      <c r="I19" s="90">
        <f>IF(ISBLANK('Distribución estado nutricional'!I$14),0.72,(0.72*'Distribución estado nutricional'!I$14/(1-0.72*'Distribución estado nutricional'!I$14))
/ ('Distribución estado nutricional'!I$14/(1-'Distribución estado nutricional'!I$14)))</f>
        <v>0.60674157303370779</v>
      </c>
      <c r="J19" s="90">
        <f>IF(ISBLANK('Distribución estado nutricional'!J$14),0.72,(0.72*'Distribución estado nutricional'!J$14/(1-0.72*'Distribución estado nutricional'!J$14))
/ ('Distribución estado nutricional'!J$14/(1-'Distribución estado nutricional'!J$14)))</f>
        <v>0.60674157303370779</v>
      </c>
      <c r="K19" s="90">
        <f>IF(ISBLANK('Distribución estado nutricional'!K$14),0.72,(0.72*'Distribución estado nutricional'!K$14/(1-0.72*'Distribución estado nutricional'!K$14))
/ ('Distribución estado nutricional'!K$14/(1-'Distribución estado nutricional'!K$14)))</f>
        <v>0.60674157303370779</v>
      </c>
      <c r="L19" s="90">
        <f>IF(ISBLANK('Distribución estado nutricional'!L$14),0.72,(0.72*'Distribución estado nutricional'!L$14/(1-0.72*'Distribución estado nutricional'!L$14))
/ ('Distribución estado nutricional'!L$14/(1-'Distribución estado nutricional'!L$14)))</f>
        <v>0.62602842183994012</v>
      </c>
      <c r="M19" s="90">
        <f>IF(ISBLANK('Distribución estado nutricional'!M$14),0.72,(0.72*'Distribución estado nutricional'!M$14/(1-0.72*'Distribución estado nutricional'!M$14))
/ ('Distribución estado nutricional'!M$14/(1-'Distribución estado nutricional'!M$14)))</f>
        <v>0.62602842183994012</v>
      </c>
      <c r="N19" s="90">
        <f>IF(ISBLANK('Distribución estado nutricional'!N$14),0.72,(0.72*'Distribución estado nutricional'!N$14/(1-0.72*'Distribución estado nutricional'!N$14))
/ ('Distribución estado nutricional'!N$14/(1-'Distribución estado nutricional'!N$14)))</f>
        <v>0.62602842183994012</v>
      </c>
      <c r="O19" s="90">
        <f>IF(ISBLANK('Distribución estado nutricional'!O$14),0.72,(0.72*'Distribución estado nutricional'!O$14/(1-0.72*'Distribución estado nutricional'!O$14))
/ ('Distribución estado nutricional'!O$14/(1-'Distribución estado nutricional'!O$14)))</f>
        <v>0.62602842183994012</v>
      </c>
    </row>
    <row r="20" spans="1:15" x14ac:dyDescent="0.25">
      <c r="B20" s="5" t="s">
        <v>173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181</v>
      </c>
      <c r="C21" s="90">
        <v>1</v>
      </c>
      <c r="D21" s="90">
        <v>1</v>
      </c>
      <c r="E21" s="90">
        <f>IF(ISBLANK('Distribución estado nutricional'!E$14),0.8,(0.8*'Distribución estado nutricional'!E$14/(1-0.8*'Distribución estado nutricional'!E$14))
/ ('Distribución estado nutricional'!E$14/(1-'Distribución estado nutricional'!E$14)))</f>
        <v>0.44242774185992473</v>
      </c>
      <c r="F21" s="90">
        <f>IF(ISBLANK('Distribución estado nutricional'!F$14),0.8,(0.8*'Distribución estado nutricional'!F$14/(1-0.8*'Distribución estado nutricional'!F$14))
/ ('Distribución estado nutricional'!F$14/(1-'Distribución estado nutricional'!F$14)))</f>
        <v>0.67783792746977678</v>
      </c>
      <c r="G21" s="90">
        <f>IF(ISBLANK('Distribución estado nutricional'!G$14),0.8,(0.8*'Distribución estado nutricional'!G$14/(1-0.8*'Distribución estado nutricional'!G$14))
/ ('Distribución estado nutricional'!G$14/(1-'Distribución estado nutricional'!G$14)))</f>
        <v>0.67783792746977678</v>
      </c>
      <c r="H21" s="90">
        <f>IF(ISBLANK('Distribución estado nutricional'!H$14),0.8,(0.8*'Distribución estado nutricional'!H$14/(1-0.8*'Distribución estado nutricional'!H$14))
/ ('Distribución estado nutricional'!H$14/(1-'Distribución estado nutricional'!H$14)))</f>
        <v>0.70588235294117663</v>
      </c>
      <c r="I21" s="90">
        <f>IF(ISBLANK('Distribución estado nutricional'!I$14),0.8,(0.8*'Distribución estado nutricional'!I$14/(1-0.8*'Distribución estado nutricional'!I$14))
/ ('Distribución estado nutricional'!I$14/(1-'Distribución estado nutricional'!I$14)))</f>
        <v>0.70588235294117663</v>
      </c>
      <c r="J21" s="90">
        <f>IF(ISBLANK('Distribución estado nutricional'!J$14),0.8,(0.8*'Distribución estado nutricional'!J$14/(1-0.8*'Distribución estado nutricional'!J$14))
/ ('Distribución estado nutricional'!J$14/(1-'Distribución estado nutricional'!J$14)))</f>
        <v>0.70588235294117663</v>
      </c>
      <c r="K21" s="90">
        <f>IF(ISBLANK('Distribución estado nutricional'!K$14),0.8,(0.8*'Distribución estado nutricional'!K$14/(1-0.8*'Distribución estado nutricional'!K$14))
/ ('Distribución estado nutricional'!K$14/(1-'Distribución estado nutricional'!K$14)))</f>
        <v>0.70588235294117663</v>
      </c>
      <c r="L21" s="90">
        <f>IF(ISBLANK('Distribución estado nutricional'!L$14),0.8,(0.8*'Distribución estado nutricional'!L$14/(1-0.8*'Distribución estado nutricional'!L$14))
/ ('Distribución estado nutricional'!L$14/(1-'Distribución estado nutricional'!L$14)))</f>
        <v>0.72253052164261944</v>
      </c>
      <c r="M21" s="90">
        <f>IF(ISBLANK('Distribución estado nutricional'!M$14),0.8,(0.8*'Distribución estado nutricional'!M$14/(1-0.8*'Distribución estado nutricional'!M$14))
/ ('Distribución estado nutricional'!M$14/(1-'Distribución estado nutricional'!M$14)))</f>
        <v>0.72253052164261944</v>
      </c>
      <c r="N21" s="90">
        <f>IF(ISBLANK('Distribución estado nutricional'!N$14),0.8,(0.8*'Distribución estado nutricional'!N$14/(1-0.8*'Distribución estado nutricional'!N$14))
/ ('Distribución estado nutricional'!N$14/(1-'Distribución estado nutricional'!N$14)))</f>
        <v>0.72253052164261944</v>
      </c>
      <c r="O21" s="90">
        <f>IF(ISBLANK('Distribución estado nutricional'!O$14),0.8,(0.8*'Distribución estado nutricional'!O$14/(1-0.8*'Distribución estado nutricional'!O$14))
/ ('Distribución estado nutricional'!O$14/(1-'Distribución estado nutricional'!O$14)))</f>
        <v>0.72253052164261944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ht="13" customHeight="1" x14ac:dyDescent="0.3">
      <c r="A25" s="4" t="s">
        <v>327</v>
      </c>
    </row>
    <row r="26" spans="1:15" x14ac:dyDescent="0.25">
      <c r="B26" s="11" t="s">
        <v>169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174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175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176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177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178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179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180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190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191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204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324</v>
      </c>
      <c r="B40" s="11"/>
    </row>
    <row r="41" spans="1:15" x14ac:dyDescent="0.25">
      <c r="B41" s="5" t="s">
        <v>171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172</v>
      </c>
      <c r="C42" s="90">
        <f t="shared" ref="C42:D44" si="14">IF(C19=1,1,C19*0.9)</f>
        <v>1</v>
      </c>
      <c r="D42" s="90">
        <f t="shared" si="14"/>
        <v>1</v>
      </c>
      <c r="E42" s="90">
        <f>IF(ISBLANK('Distribución estado nutricional'!E$14),0.54,(0.54*'Distribución estado nutricional'!E$14/(1-0.54*'Distribución estado nutricional'!E$14))
/ ('Distribución estado nutricional'!E$14/(1-'Distribución estado nutricional'!E$14)))</f>
        <v>0.18888573829814775</v>
      </c>
      <c r="F42" s="90">
        <f>IF(ISBLANK('Distribución estado nutricional'!F$14),0.54,(0.54*'Distribución estado nutricional'!F$14/(1-0.54*'Distribución estado nutricional'!F$14))
/ ('Distribución estado nutricional'!F$14/(1-'Distribución estado nutricional'!F$14)))</f>
        <v>0.38175677744708264</v>
      </c>
      <c r="G42" s="90">
        <f>IF(ISBLANK('Distribución estado nutricional'!G$14),0.54,(0.54*'Distribución estado nutricional'!G$14/(1-0.54*'Distribución estado nutricional'!G$14))
/ ('Distribución estado nutricional'!G$14/(1-'Distribución estado nutricional'!G$14)))</f>
        <v>0.38175677744708264</v>
      </c>
      <c r="H42" s="90">
        <f>IF(ISBLANK('Distribución estado nutricional'!H$14),0.54,(0.54*'Distribución estado nutricional'!H$14/(1-0.54*'Distribución estado nutricional'!H$14))
/ ('Distribución estado nutricional'!H$14/(1-'Distribución estado nutricional'!H$14)))</f>
        <v>0.41326530612244899</v>
      </c>
      <c r="I42" s="90">
        <f>IF(ISBLANK('Distribución estado nutricional'!I$14),0.54,(0.54*'Distribución estado nutricional'!I$14/(1-0.54*'Distribución estado nutricional'!I$14))
/ ('Distribución estado nutricional'!I$14/(1-'Distribución estado nutricional'!I$14)))</f>
        <v>0.41326530612244899</v>
      </c>
      <c r="J42" s="90">
        <f>IF(ISBLANK('Distribución estado nutricional'!J$14),0.54,(0.54*'Distribución estado nutricional'!J$14/(1-0.54*'Distribución estado nutricional'!J$14))
/ ('Distribución estado nutricional'!J$14/(1-'Distribución estado nutricional'!J$14)))</f>
        <v>0.41326530612244899</v>
      </c>
      <c r="K42" s="90">
        <f>IF(ISBLANK('Distribución estado nutricional'!K$14),0.54,(0.54*'Distribución estado nutricional'!K$14/(1-0.54*'Distribución estado nutricional'!K$14))
/ ('Distribución estado nutricional'!K$14/(1-'Distribución estado nutricional'!K$14)))</f>
        <v>0.41326530612244899</v>
      </c>
      <c r="L42" s="90">
        <f>IF(ISBLANK('Distribución estado nutricional'!L$14),0.54,(0.54*'Distribución estado nutricional'!L$14/(1-0.54*'Distribución estado nutricional'!L$14))
/ ('Distribución estado nutricional'!L$14/(1-'Distribución estado nutricional'!L$14)))</f>
        <v>0.43317642999728911</v>
      </c>
      <c r="M42" s="90">
        <f>IF(ISBLANK('Distribución estado nutricional'!M$14),0.54,(0.54*'Distribución estado nutricional'!M$14/(1-0.54*'Distribución estado nutricional'!M$14))
/ ('Distribución estado nutricional'!M$14/(1-'Distribución estado nutricional'!M$14)))</f>
        <v>0.43317642999728911</v>
      </c>
      <c r="N42" s="90">
        <f>IF(ISBLANK('Distribución estado nutricional'!N$14),0.54,(0.54*'Distribución estado nutricional'!N$14/(1-0.54*'Distribución estado nutricional'!N$14))
/ ('Distribución estado nutricional'!N$14/(1-'Distribución estado nutricional'!N$14)))</f>
        <v>0.43317642999728911</v>
      </c>
      <c r="O42" s="90">
        <f>IF(ISBLANK('Distribución estado nutricional'!O$14),0.54,(0.54*'Distribución estado nutricional'!O$14/(1-0.54*'Distribución estado nutricional'!O$14))
/ ('Distribución estado nutricional'!O$14/(1-'Distribución estado nutricional'!O$14)))</f>
        <v>0.43317642999728911</v>
      </c>
    </row>
    <row r="43" spans="1:15" x14ac:dyDescent="0.25">
      <c r="B43" s="5" t="s">
        <v>173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181</v>
      </c>
      <c r="C44" s="90">
        <f t="shared" si="14"/>
        <v>1</v>
      </c>
      <c r="D44" s="90">
        <f t="shared" si="14"/>
        <v>1</v>
      </c>
      <c r="E44" s="90">
        <f>IF(ISBLANK('Distribución estado nutricional'!E$14),0.7,(0.7*'Distribución estado nutricional'!E$14/(1-0.7*'Distribución estado nutricional'!E$14))
/ ('Distribución estado nutricional'!E$14/(1-'Distribución estado nutricional'!E$14)))</f>
        <v>0.31641173705250425</v>
      </c>
      <c r="F44" s="90">
        <f>IF(ISBLANK('Distribución estado nutricional'!F$14),0.7,(0.7*'Distribución estado nutricional'!F$14/(1-0.7*'Distribución estado nutricional'!F$14))
/ ('Distribución estado nutricional'!F$14/(1-'Distribución estado nutricional'!F$14)))</f>
        <v>0.55103588308819462</v>
      </c>
      <c r="G44" s="90">
        <f>IF(ISBLANK('Distribución estado nutricional'!G$14),0.7,(0.7*'Distribución estado nutricional'!G$14/(1-0.7*'Distribución estado nutricional'!G$14))
/ ('Distribución estado nutricional'!G$14/(1-'Distribución estado nutricional'!G$14)))</f>
        <v>0.55103588308819462</v>
      </c>
      <c r="H44" s="90">
        <f>IF(ISBLANK('Distribución estado nutricional'!H$14),0.7,(0.7*'Distribución estado nutricional'!H$14/(1-0.7*'Distribución estado nutricional'!H$14))
/ ('Distribución estado nutricional'!H$14/(1-'Distribución estado nutricional'!H$14)))</f>
        <v>0.58333333333333315</v>
      </c>
      <c r="I44" s="90">
        <f>IF(ISBLANK('Distribución estado nutricional'!I$14),0.7,(0.7*'Distribución estado nutricional'!I$14/(1-0.7*'Distribución estado nutricional'!I$14))
/ ('Distribución estado nutricional'!I$14/(1-'Distribución estado nutricional'!I$14)))</f>
        <v>0.58333333333333315</v>
      </c>
      <c r="J44" s="90">
        <f>IF(ISBLANK('Distribución estado nutricional'!J$14),0.7,(0.7*'Distribución estado nutricional'!J$14/(1-0.7*'Distribución estado nutricional'!J$14))
/ ('Distribución estado nutricional'!J$14/(1-'Distribución estado nutricional'!J$14)))</f>
        <v>0.58333333333333315</v>
      </c>
      <c r="K44" s="90">
        <f>IF(ISBLANK('Distribución estado nutricional'!K$14),0.7,(0.7*'Distribución estado nutricional'!K$14/(1-0.7*'Distribución estado nutricional'!K$14))
/ ('Distribución estado nutricional'!K$14/(1-'Distribución estado nutricional'!K$14)))</f>
        <v>0.58333333333333315</v>
      </c>
      <c r="L44" s="90">
        <f>IF(ISBLANK('Distribución estado nutricional'!L$14),0.7,(0.7*'Distribución estado nutricional'!L$14/(1-0.7*'Distribución estado nutricional'!L$14))
/ ('Distribución estado nutricional'!L$14/(1-'Distribución estado nutricional'!L$14)))</f>
        <v>0.60301707026597851</v>
      </c>
      <c r="M44" s="90">
        <f>IF(ISBLANK('Distribución estado nutricional'!M$14),0.7,(0.7*'Distribución estado nutricional'!M$14/(1-0.7*'Distribución estado nutricional'!M$14))
/ ('Distribución estado nutricional'!M$14/(1-'Distribución estado nutricional'!M$14)))</f>
        <v>0.60301707026597851</v>
      </c>
      <c r="N44" s="90">
        <f>IF(ISBLANK('Distribución estado nutricional'!N$14),0.7,(0.7*'Distribución estado nutricional'!N$14/(1-0.7*'Distribución estado nutricional'!N$14))
/ ('Distribución estado nutricional'!N$14/(1-'Distribución estado nutricional'!N$14)))</f>
        <v>0.60301707026597851</v>
      </c>
      <c r="O44" s="90">
        <f>IF(ISBLANK('Distribución estado nutricional'!O$14),0.7,(0.7*'Distribución estado nutricional'!O$14/(1-0.7*'Distribución estado nutricional'!O$14))
/ ('Distribución estado nutricional'!O$14/(1-'Distribución estado nutricional'!O$14)))</f>
        <v>0.60301707026597851</v>
      </c>
    </row>
    <row r="46" spans="1:15" s="92" customFormat="1" ht="13" customHeight="1" x14ac:dyDescent="0.3">
      <c r="A46" s="92" t="s">
        <v>245</v>
      </c>
    </row>
    <row r="47" spans="1:15" ht="26" customHeight="1" x14ac:dyDescent="0.3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ht="13" customHeight="1" x14ac:dyDescent="0.3">
      <c r="A48" s="4" t="s">
        <v>328</v>
      </c>
    </row>
    <row r="49" spans="1:15" x14ac:dyDescent="0.25">
      <c r="B49" s="11" t="s">
        <v>169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174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175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176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177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178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179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180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190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191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204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325</v>
      </c>
      <c r="B63" s="11"/>
    </row>
    <row r="64" spans="1:15" x14ac:dyDescent="0.25">
      <c r="B64" s="5" t="s">
        <v>171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172</v>
      </c>
      <c r="C65" s="90">
        <f t="shared" ref="C65:D67" si="30">IF(C19=1,1,C19*1.05)</f>
        <v>1</v>
      </c>
      <c r="D65" s="90">
        <f t="shared" si="30"/>
        <v>1</v>
      </c>
      <c r="E65" s="90">
        <f>IF(ISBLANK('Distribución estado nutricional'!E$14),0.97,(0.97*'Distribución estado nutricional'!E$14/(1-0.97*'Distribución estado nutricional'!E$14))
/ ('Distribución estado nutricional'!E$14/(1-'Distribución estado nutricional'!E$14)))</f>
        <v>0.86512077565046597</v>
      </c>
      <c r="F65" s="90">
        <f>IF(ISBLANK('Distribución estado nutricional'!F$14),0.97,(0.97*'Distribución estado nutricional'!F$14/(1-0.97*'Distribución estado nutricional'!F$14))
/ ('Distribución estado nutricional'!F$14/(1-'Distribución estado nutricional'!F$14)))</f>
        <v>0.94446775970599406</v>
      </c>
      <c r="G65" s="90">
        <f>IF(ISBLANK('Distribución estado nutricional'!G$14),0.97,(0.97*'Distribución estado nutricional'!G$14/(1-0.97*'Distribución estado nutricional'!G$14))
/ ('Distribución estado nutricional'!G$14/(1-'Distribución estado nutricional'!G$14)))</f>
        <v>0.94446775970599406</v>
      </c>
      <c r="H65" s="90">
        <f>IF(ISBLANK('Distribución estado nutricional'!H$14),0.97,(0.97*'Distribución estado nutricional'!H$14/(1-0.97*'Distribución estado nutricional'!H$14))
/ ('Distribución estado nutricional'!H$14/(1-'Distribución estado nutricional'!H$14)))</f>
        <v>0.95098039215686281</v>
      </c>
      <c r="I65" s="90">
        <f>IF(ISBLANK('Distribución estado nutricional'!I$14),0.97,(0.97*'Distribución estado nutricional'!I$14/(1-0.97*'Distribución estado nutricional'!I$14))
/ ('Distribución estado nutricional'!I$14/(1-'Distribución estado nutricional'!I$14)))</f>
        <v>0.95098039215686281</v>
      </c>
      <c r="J65" s="90">
        <f>IF(ISBLANK('Distribución estado nutricional'!J$14),0.97,(0.97*'Distribución estado nutricional'!J$14/(1-0.97*'Distribución estado nutricional'!J$14))
/ ('Distribución estado nutricional'!J$14/(1-'Distribución estado nutricional'!J$14)))</f>
        <v>0.95098039215686281</v>
      </c>
      <c r="K65" s="90">
        <f>IF(ISBLANK('Distribución estado nutricional'!K$14),0.97,(0.97*'Distribución estado nutricional'!K$14/(1-0.97*'Distribución estado nutricional'!K$14))
/ ('Distribución estado nutricional'!K$14/(1-'Distribución estado nutricional'!K$14)))</f>
        <v>0.95098039215686281</v>
      </c>
      <c r="L65" s="90">
        <f>IF(ISBLANK('Distribución estado nutricional'!L$14),0.97,(0.97*'Distribución estado nutricional'!L$14/(1-0.97*'Distribución estado nutricional'!L$14))
/ ('Distribución estado nutricional'!L$14/(1-'Distribución estado nutricional'!L$14)))</f>
        <v>0.9546464692276293</v>
      </c>
      <c r="M65" s="90">
        <f>IF(ISBLANK('Distribución estado nutricional'!M$14),0.97,(0.97*'Distribución estado nutricional'!M$14/(1-0.97*'Distribución estado nutricional'!M$14))
/ ('Distribución estado nutricional'!M$14/(1-'Distribución estado nutricional'!M$14)))</f>
        <v>0.9546464692276293</v>
      </c>
      <c r="N65" s="90">
        <f>IF(ISBLANK('Distribución estado nutricional'!N$14),0.97,(0.97*'Distribución estado nutricional'!N$14/(1-0.97*'Distribución estado nutricional'!N$14))
/ ('Distribución estado nutricional'!N$14/(1-'Distribución estado nutricional'!N$14)))</f>
        <v>0.9546464692276293</v>
      </c>
      <c r="O65" s="90">
        <f>IF(ISBLANK('Distribución estado nutricional'!O$14),0.97,(0.97*'Distribución estado nutricional'!O$14/(1-0.97*'Distribución estado nutricional'!O$14))
/ ('Distribución estado nutricional'!O$14/(1-'Distribución estado nutricional'!O$14)))</f>
        <v>0.9546464692276293</v>
      </c>
    </row>
    <row r="66" spans="2:15" x14ac:dyDescent="0.25">
      <c r="B66" s="5" t="s">
        <v>173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181</v>
      </c>
      <c r="C67" s="90">
        <f t="shared" si="30"/>
        <v>1</v>
      </c>
      <c r="D67" s="90">
        <f t="shared" si="30"/>
        <v>1</v>
      </c>
      <c r="E67" s="90">
        <f>IF(ISBLANK('Distribución estado nutricional'!E$14),0.92,(0.92*'Distribución estado nutricional'!E$14/(1-0.92*'Distribución estado nutricional'!E$14))
/ ('Distribución estado nutricional'!E$14/(1-'Distribución estado nutricional'!E$14)))</f>
        <v>0.69524110095379354</v>
      </c>
      <c r="F67" s="90">
        <f>IF(ISBLANK('Distribución estado nutricional'!F$14),0.92,(0.92*'Distribución estado nutricional'!F$14/(1-0.92*'Distribución estado nutricional'!F$14))
/ ('Distribución estado nutricional'!F$14/(1-'Distribución estado nutricional'!F$14)))</f>
        <v>0.85813750905698682</v>
      </c>
      <c r="G67" s="90">
        <f>IF(ISBLANK('Distribución estado nutricional'!G$14),0.92,(0.92*'Distribución estado nutricional'!G$14/(1-0.92*'Distribución estado nutricional'!G$14))
/ ('Distribución estado nutricional'!G$14/(1-'Distribución estado nutricional'!G$14)))</f>
        <v>0.85813750905698682</v>
      </c>
      <c r="H67" s="90">
        <f>IF(ISBLANK('Distribución estado nutricional'!H$14),0.92,(0.92*'Distribución estado nutricional'!H$14/(1-0.92*'Distribución estado nutricional'!H$14))
/ ('Distribución estado nutricional'!H$14/(1-'Distribución estado nutricional'!H$14)))</f>
        <v>0.87341772151898756</v>
      </c>
      <c r="I67" s="90">
        <f>IF(ISBLANK('Distribución estado nutricional'!I$14),0.92,(0.92*'Distribución estado nutricional'!I$14/(1-0.92*'Distribución estado nutricional'!I$14))
/ ('Distribución estado nutricional'!I$14/(1-'Distribución estado nutricional'!I$14)))</f>
        <v>0.87341772151898756</v>
      </c>
      <c r="J67" s="90">
        <f>IF(ISBLANK('Distribución estado nutricional'!J$14),0.92,(0.92*'Distribución estado nutricional'!J$14/(1-0.92*'Distribución estado nutricional'!J$14))
/ ('Distribución estado nutricional'!J$14/(1-'Distribución estado nutricional'!J$14)))</f>
        <v>0.87341772151898756</v>
      </c>
      <c r="K67" s="90">
        <f>IF(ISBLANK('Distribución estado nutricional'!K$14),0.92,(0.92*'Distribución estado nutricional'!K$14/(1-0.92*'Distribución estado nutricional'!K$14))
/ ('Distribución estado nutricional'!K$14/(1-'Distribución estado nutricional'!K$14)))</f>
        <v>0.87341772151898756</v>
      </c>
      <c r="L67" s="90">
        <f>IF(ISBLANK('Distribución estado nutricional'!L$14),0.92,(0.92*'Distribución estado nutricional'!L$14/(1-0.92*'Distribución estado nutricional'!L$14))
/ ('Distribución estado nutricional'!L$14/(1-'Distribución estado nutricional'!L$14)))</f>
        <v>0.88216579272962947</v>
      </c>
      <c r="M67" s="90">
        <f>IF(ISBLANK('Distribución estado nutricional'!M$14),0.92,(0.92*'Distribución estado nutricional'!M$14/(1-0.92*'Distribución estado nutricional'!M$14))
/ ('Distribución estado nutricional'!M$14/(1-'Distribución estado nutricional'!M$14)))</f>
        <v>0.88216579272962947</v>
      </c>
      <c r="N67" s="90">
        <f>IF(ISBLANK('Distribución estado nutricional'!N$14),0.92,(0.92*'Distribución estado nutricional'!N$14/(1-0.92*'Distribución estado nutricional'!N$14))
/ ('Distribución estado nutricional'!N$14/(1-'Distribución estado nutricional'!N$14)))</f>
        <v>0.88216579272962947</v>
      </c>
      <c r="O67" s="90">
        <f>IF(ISBLANK('Distribución estado nutricional'!O$14),0.92,(0.92*'Distribución estado nutricional'!O$14/(1-0.92*'Distribución estado nutricional'!O$14))
/ ('Distribución estado nutricional'!O$14/(1-'Distribución estado nutricional'!O$14)))</f>
        <v>0.88216579272962947</v>
      </c>
    </row>
  </sheetData>
  <sheetProtection algorithmName="SHA-512" hashValue="sggCmQkmZx735uftuAI8RWCWR5ZlDLs1R4hJJHreUdiJ/YRd6cZLKx1ZXTnVuDppLwlWiBGhOryQ1LKG4wOf0w==" saltValue="E8kkASLfkL4PwliGDOmHPA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ht="13" customHeight="1" x14ac:dyDescent="0.3">
      <c r="A2" s="4" t="s">
        <v>333</v>
      </c>
    </row>
    <row r="3" spans="1:7" x14ac:dyDescent="0.25">
      <c r="B3" s="11" t="s">
        <v>164</v>
      </c>
      <c r="C3" s="90">
        <v>1</v>
      </c>
      <c r="D3" s="90">
        <f>IF(ISBLANK('Distribución estado nutricional'!D$11),0.86,(0.86*'Distribución estado nutricional'!D$11/(1-0.86*'Distribución estado nutricional'!D$11))
/ ('Distribución estado nutricional'!D$11/(1-'Distribución estado nutricional'!D$11)))</f>
        <v>0.85407802317588166</v>
      </c>
      <c r="E3" s="90">
        <f>IF(ISBLANK('Distribución estado nutricional'!E$11),0.86,(0.86*'Distribución estado nutricional'!E$11/(1-0.86*'Distribución estado nutricional'!E$11))
/ ('Distribución estado nutricional'!E$11/(1-'Distribución estado nutricional'!E$11)))</f>
        <v>0.85389710876820735</v>
      </c>
      <c r="F3" s="90">
        <f>IF(ISBLANK('Distribución estado nutricional'!F$11),0.86,(0.86*'Distribución estado nutricional'!F$11/(1-0.86*'Distribución estado nutricional'!F$11))
/ ('Distribución estado nutricional'!F$11/(1-'Distribución estado nutricional'!F$11)))</f>
        <v>0.85541044561739943</v>
      </c>
      <c r="G3" s="90">
        <f>IF(ISBLANK('Distribución estado nutricional'!G$11),0.86,(0.86*'Distribución estado nutricional'!G$11/(1-0.86*'Distribución estado nutricional'!G$11))
/ ('Distribución estado nutricional'!G$11/(1-'Distribución estado nutricional'!G$11)))</f>
        <v>0.85736284271324159</v>
      </c>
    </row>
    <row r="4" spans="1:7" ht="13" customHeight="1" x14ac:dyDescent="0.3">
      <c r="A4" s="4" t="s">
        <v>330</v>
      </c>
      <c r="B4" s="11"/>
      <c r="C4" s="83"/>
      <c r="D4" s="83"/>
      <c r="E4" s="83"/>
      <c r="F4" s="83"/>
      <c r="G4" s="83"/>
    </row>
    <row r="5" spans="1:7" x14ac:dyDescent="0.25">
      <c r="B5" s="5" t="s">
        <v>162</v>
      </c>
      <c r="C5" s="90">
        <v>1</v>
      </c>
      <c r="D5" s="90">
        <f>IF(ISBLANK('Distribución estado nutricional'!D$10),0.86,(0.86*'Distribución estado nutricional'!D$10/(1-0.86*'Distribución estado nutricional'!D$10))
/ ('Distribución estado nutricional'!D$10/(1-'Distribución estado nutricional'!D$10)))</f>
        <v>0.84535146682059226</v>
      </c>
      <c r="E5" s="90">
        <f>IF(ISBLANK('Distribución estado nutricional'!E$10),0.86,(0.86*'Distribución estado nutricional'!E$10/(1-0.86*'Distribución estado nutricional'!E$10))
/ ('Distribución estado nutricional'!E$10/(1-'Distribución estado nutricional'!E$10)))</f>
        <v>0.84641013073301108</v>
      </c>
      <c r="F5" s="90">
        <f>IF(ISBLANK('Distribución estado nutricional'!F$10),0.86,(0.86*'Distribución estado nutricional'!F$10/(1-0.86*'Distribución estado nutricional'!F$10))
/ ('Distribución estado nutricional'!F$10/(1-'Distribución estado nutricional'!F$10)))</f>
        <v>0.84580004659508445</v>
      </c>
      <c r="G5" s="90">
        <f>IF(ISBLANK('Distribución estado nutricional'!G$10),0.86,(0.86*'Distribución estado nutricional'!G$10/(1-0.86*'Distribución estado nutricional'!G$10))
/ ('Distribución estado nutricional'!G$10/(1-'Distribución estado nutricional'!G$10)))</f>
        <v>0.84958443832291008</v>
      </c>
    </row>
    <row r="7" spans="1:7" s="92" customFormat="1" ht="13" customHeight="1" x14ac:dyDescent="0.3">
      <c r="A7" s="92" t="s">
        <v>329</v>
      </c>
    </row>
    <row r="8" spans="1:7" ht="13" customHeight="1" x14ac:dyDescent="0.3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ht="13" customHeight="1" x14ac:dyDescent="0.3">
      <c r="A9" s="4" t="s">
        <v>334</v>
      </c>
    </row>
    <row r="10" spans="1:7" x14ac:dyDescent="0.25">
      <c r="B10" s="11" t="s">
        <v>164</v>
      </c>
      <c r="C10" s="90">
        <f>C3*0.9</f>
        <v>0.9</v>
      </c>
      <c r="D10" s="90">
        <f>D3*0.9</f>
        <v>0.76867022085829351</v>
      </c>
      <c r="E10" s="90">
        <f>E3*0.9</f>
        <v>0.76850739789138667</v>
      </c>
      <c r="F10" s="90">
        <f>F3*0.9</f>
        <v>0.76986940105565949</v>
      </c>
      <c r="G10" s="90">
        <f>G3*0.9</f>
        <v>0.77162655844191741</v>
      </c>
    </row>
    <row r="11" spans="1:7" ht="13" customHeight="1" x14ac:dyDescent="0.3">
      <c r="A11" s="4" t="s">
        <v>331</v>
      </c>
      <c r="B11" s="11"/>
      <c r="C11" s="83"/>
      <c r="D11" s="83"/>
      <c r="E11" s="83"/>
      <c r="F11" s="83"/>
      <c r="G11" s="83"/>
    </row>
    <row r="12" spans="1:7" x14ac:dyDescent="0.25">
      <c r="B12" s="5" t="s">
        <v>162</v>
      </c>
      <c r="C12" s="90">
        <f>C5*0.9</f>
        <v>0.9</v>
      </c>
      <c r="D12" s="90">
        <f>D5*0.9</f>
        <v>0.76081632013853306</v>
      </c>
      <c r="E12" s="90">
        <f>E5*0.9</f>
        <v>0.76176911765971</v>
      </c>
      <c r="F12" s="90">
        <f>F5*0.9</f>
        <v>0.76122004193557602</v>
      </c>
      <c r="G12" s="90">
        <f>G5*0.9</f>
        <v>0.76462599449061908</v>
      </c>
    </row>
    <row r="14" spans="1:7" s="92" customFormat="1" ht="13" customHeight="1" x14ac:dyDescent="0.3">
      <c r="A14" s="92" t="s">
        <v>336</v>
      </c>
    </row>
    <row r="15" spans="1:7" ht="13" customHeight="1" x14ac:dyDescent="0.3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ht="13" customHeight="1" x14ac:dyDescent="0.3">
      <c r="A16" s="4" t="s">
        <v>335</v>
      </c>
    </row>
    <row r="17" spans="1:7" x14ac:dyDescent="0.25">
      <c r="B17" s="11" t="s">
        <v>164</v>
      </c>
      <c r="C17" s="90">
        <f>C3*1.05</f>
        <v>1.05</v>
      </c>
      <c r="D17" s="90">
        <f>D3*1.05</f>
        <v>0.89678192433467574</v>
      </c>
      <c r="E17" s="90">
        <f>E3*1.05</f>
        <v>0.8965919642066178</v>
      </c>
      <c r="F17" s="90">
        <f>F3*1.05</f>
        <v>0.8981809678982694</v>
      </c>
      <c r="G17" s="90">
        <f>G3*1.05</f>
        <v>0.90023098484890374</v>
      </c>
    </row>
    <row r="18" spans="1:7" ht="13" customHeight="1" x14ac:dyDescent="0.3">
      <c r="A18" s="4" t="s">
        <v>332</v>
      </c>
      <c r="B18" s="11"/>
      <c r="C18" s="83"/>
      <c r="D18" s="83"/>
      <c r="E18" s="83"/>
      <c r="F18" s="83"/>
      <c r="G18" s="83"/>
    </row>
    <row r="19" spans="1:7" x14ac:dyDescent="0.25">
      <c r="B19" s="5" t="s">
        <v>162</v>
      </c>
      <c r="C19" s="90">
        <f>C5*1.05</f>
        <v>1.05</v>
      </c>
      <c r="D19" s="90">
        <f>D5*1.05</f>
        <v>0.88761904016162185</v>
      </c>
      <c r="E19" s="90">
        <f>E5*1.05</f>
        <v>0.88873063726966162</v>
      </c>
      <c r="F19" s="90">
        <f>F5*1.05</f>
        <v>0.88809004892483867</v>
      </c>
      <c r="G19" s="90">
        <f>G5*1.05</f>
        <v>0.89206366023905559</v>
      </c>
    </row>
  </sheetData>
  <sheetProtection algorithmName="SHA-512" hashValue="wkiwtNBrU4yMqQzFo7NQRCHCoB7E+ER78r8giZNjs+/g9P7jr4yqiJUasZpow/YlUZjTJml/Zws8EV9yNL8R6w==" saltValue="X74YFNrRhsYWzlaRE6x/h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5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338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338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6</v>
      </c>
      <c r="C7" s="5" t="s">
        <v>337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338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338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6</v>
      </c>
      <c r="C11" s="5" t="s">
        <v>337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338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338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6</v>
      </c>
      <c r="C15" s="5" t="s">
        <v>337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338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338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6</v>
      </c>
      <c r="C19" s="5" t="s">
        <v>337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338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173</v>
      </c>
      <c r="B21" s="5" t="s">
        <v>92</v>
      </c>
      <c r="C21" s="5" t="s">
        <v>337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171</v>
      </c>
      <c r="B23" s="5" t="s">
        <v>92</v>
      </c>
      <c r="C23" s="5" t="s">
        <v>337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172</v>
      </c>
      <c r="B25" s="5" t="s">
        <v>92</v>
      </c>
      <c r="C25" s="5" t="s">
        <v>337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203</v>
      </c>
      <c r="B42" s="5" t="s">
        <v>84</v>
      </c>
      <c r="C42" s="5" t="s">
        <v>337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338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338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202</v>
      </c>
      <c r="B50" s="5" t="s">
        <v>84</v>
      </c>
      <c r="C50" s="5" t="s">
        <v>337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329</v>
      </c>
      <c r="B55" s="97"/>
      <c r="C55" s="97"/>
    </row>
    <row r="56" spans="1:8" ht="13" customHeight="1" x14ac:dyDescent="0.3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5">
      <c r="A57" s="5" t="s">
        <v>196</v>
      </c>
      <c r="B57" s="5" t="s">
        <v>84</v>
      </c>
      <c r="C57" s="5" t="s">
        <v>337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338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338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204</v>
      </c>
      <c r="B68" s="5" t="s">
        <v>207</v>
      </c>
      <c r="C68" s="5" t="s">
        <v>337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338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6</v>
      </c>
      <c r="C70" s="5" t="s">
        <v>337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338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167</v>
      </c>
      <c r="B72" s="5" t="s">
        <v>207</v>
      </c>
      <c r="C72" s="5" t="s">
        <v>337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338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6</v>
      </c>
      <c r="C74" s="5" t="s">
        <v>337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338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173</v>
      </c>
      <c r="B76" s="5" t="s">
        <v>92</v>
      </c>
      <c r="C76" s="5" t="s">
        <v>337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171</v>
      </c>
      <c r="B78" s="5" t="s">
        <v>92</v>
      </c>
      <c r="C78" s="5" t="s">
        <v>337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172</v>
      </c>
      <c r="B80" s="5" t="s">
        <v>92</v>
      </c>
      <c r="C80" s="5" t="s">
        <v>337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200</v>
      </c>
      <c r="B82" s="5" t="s">
        <v>84</v>
      </c>
      <c r="C82" s="5" t="s">
        <v>337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338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201</v>
      </c>
      <c r="B85" s="5" t="s">
        <v>84</v>
      </c>
      <c r="C85" s="5" t="s">
        <v>337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338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199</v>
      </c>
      <c r="B88" s="5" t="s">
        <v>84</v>
      </c>
      <c r="C88" s="5" t="s">
        <v>337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338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198</v>
      </c>
      <c r="B91" s="5" t="s">
        <v>84</v>
      </c>
      <c r="C91" s="5" t="s">
        <v>337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08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338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197</v>
      </c>
      <c r="B94" s="5" t="s">
        <v>84</v>
      </c>
      <c r="C94" s="5" t="s">
        <v>337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338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203</v>
      </c>
      <c r="B97" s="5" t="s">
        <v>84</v>
      </c>
      <c r="C97" s="5" t="s">
        <v>337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08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338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102</v>
      </c>
      <c r="C100" s="5" t="s">
        <v>337</v>
      </c>
      <c r="D100" s="90">
        <f t="shared" si="6"/>
        <v>0.27</v>
      </c>
      <c r="E100" s="90">
        <f t="shared" si="6"/>
        <v>0.27</v>
      </c>
      <c r="F100" s="90">
        <f t="shared" si="5"/>
        <v>0.27</v>
      </c>
      <c r="G100" s="90">
        <f t="shared" si="5"/>
        <v>0.27</v>
      </c>
      <c r="H100" s="90">
        <f t="shared" si="2"/>
        <v>0.27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338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192</v>
      </c>
      <c r="B103" s="5" t="s">
        <v>84</v>
      </c>
      <c r="C103" s="5" t="s">
        <v>337</v>
      </c>
      <c r="D103" s="90">
        <f t="shared" si="6"/>
        <v>0.79200000000000004</v>
      </c>
      <c r="E103" s="90">
        <f t="shared" si="6"/>
        <v>0.79200000000000004</v>
      </c>
      <c r="F103" s="90">
        <f t="shared" si="5"/>
        <v>0.79200000000000004</v>
      </c>
      <c r="G103" s="90">
        <f t="shared" si="5"/>
        <v>0.79200000000000004</v>
      </c>
      <c r="H103" s="90">
        <f t="shared" si="2"/>
        <v>0.79200000000000004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202</v>
      </c>
      <c r="B105" s="5" t="s">
        <v>84</v>
      </c>
      <c r="C105" s="5" t="s">
        <v>337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182</v>
      </c>
      <c r="B107" s="5" t="s">
        <v>96</v>
      </c>
      <c r="C107" s="5" t="s">
        <v>337</v>
      </c>
      <c r="D107" s="90">
        <f t="shared" si="6"/>
        <v>0.52200000000000002</v>
      </c>
      <c r="E107" s="90">
        <f t="shared" si="6"/>
        <v>0.52200000000000002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336</v>
      </c>
      <c r="B110" s="97"/>
      <c r="C110" s="97"/>
    </row>
    <row r="111" spans="1:8" ht="13" customHeight="1" x14ac:dyDescent="0.3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5">
      <c r="A112" s="5" t="s">
        <v>196</v>
      </c>
      <c r="B112" s="5" t="s">
        <v>84</v>
      </c>
      <c r="C112" s="5" t="s">
        <v>337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338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193</v>
      </c>
      <c r="B115" s="5" t="s">
        <v>207</v>
      </c>
      <c r="C115" s="5" t="s">
        <v>337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338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6</v>
      </c>
      <c r="C117" s="5" t="s">
        <v>337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338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207</v>
      </c>
      <c r="C119" s="5" t="s">
        <v>337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338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6</v>
      </c>
      <c r="C121" s="5" t="s">
        <v>337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338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338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338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173</v>
      </c>
      <c r="B131" s="5" t="s">
        <v>92</v>
      </c>
      <c r="C131" s="5" t="s">
        <v>337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171</v>
      </c>
      <c r="B133" s="5" t="s">
        <v>92</v>
      </c>
      <c r="C133" s="5" t="s">
        <v>337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172</v>
      </c>
      <c r="B135" s="5" t="s">
        <v>92</v>
      </c>
      <c r="C135" s="5" t="s">
        <v>337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200</v>
      </c>
      <c r="B137" s="5" t="s">
        <v>84</v>
      </c>
      <c r="C137" s="5" t="s">
        <v>337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338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201</v>
      </c>
      <c r="B140" s="5" t="s">
        <v>84</v>
      </c>
      <c r="C140" s="5" t="s">
        <v>337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338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199</v>
      </c>
      <c r="B143" s="5" t="s">
        <v>84</v>
      </c>
      <c r="C143" s="5" t="s">
        <v>337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338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198</v>
      </c>
      <c r="B146" s="5" t="s">
        <v>84</v>
      </c>
      <c r="C146" s="5" t="s">
        <v>337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3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338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197</v>
      </c>
      <c r="B149" s="5" t="s">
        <v>84</v>
      </c>
      <c r="C149" s="5" t="s">
        <v>337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338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203</v>
      </c>
      <c r="B152" s="5" t="s">
        <v>84</v>
      </c>
      <c r="C152" s="5" t="s">
        <v>337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63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338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102</v>
      </c>
      <c r="C155" s="5" t="s">
        <v>337</v>
      </c>
      <c r="D155" s="90">
        <f t="shared" si="13"/>
        <v>0.315</v>
      </c>
      <c r="E155" s="90">
        <f t="shared" si="13"/>
        <v>0.315</v>
      </c>
      <c r="F155" s="90">
        <f t="shared" si="12"/>
        <v>0.315</v>
      </c>
      <c r="G155" s="90">
        <f t="shared" si="12"/>
        <v>0.315</v>
      </c>
      <c r="H155" s="90">
        <f t="shared" si="9"/>
        <v>0.315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338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192</v>
      </c>
      <c r="B158" s="5" t="s">
        <v>84</v>
      </c>
      <c r="C158" s="5" t="s">
        <v>337</v>
      </c>
      <c r="D158" s="90">
        <f t="shared" si="13"/>
        <v>0.92400000000000004</v>
      </c>
      <c r="E158" s="90">
        <f t="shared" si="13"/>
        <v>0.92400000000000004</v>
      </c>
      <c r="F158" s="90">
        <f t="shared" si="12"/>
        <v>0.92400000000000004</v>
      </c>
      <c r="G158" s="90">
        <f t="shared" si="12"/>
        <v>0.92400000000000004</v>
      </c>
      <c r="H158" s="90">
        <f t="shared" si="9"/>
        <v>0.92400000000000004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202</v>
      </c>
      <c r="B160" s="5" t="s">
        <v>84</v>
      </c>
      <c r="C160" s="5" t="s">
        <v>337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182</v>
      </c>
      <c r="B162" s="5" t="s">
        <v>96</v>
      </c>
      <c r="C162" s="5" t="s">
        <v>337</v>
      </c>
      <c r="D162" s="90">
        <f t="shared" si="13"/>
        <v>0.60899999999999999</v>
      </c>
      <c r="E162" s="90">
        <f t="shared" si="13"/>
        <v>0.60899999999999999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pijVdjHILSRmIGkNV7Q7R0iYurbzrHc+Bep4/A50QJTlmn+0hokXPkuKQjkTGv+KT5EeznIXtw4/zTZKnp5BBw==" saltValue="JGm0E7HDBhe0n19UtZSGn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5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329</v>
      </c>
    </row>
    <row r="10" spans="1:8" ht="13" customHeight="1" x14ac:dyDescent="0.3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5">
      <c r="A11" s="3" t="s">
        <v>166</v>
      </c>
      <c r="B11" s="8" t="s">
        <v>86</v>
      </c>
      <c r="C11" s="3" t="s">
        <v>337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189</v>
      </c>
      <c r="B13" s="8" t="s">
        <v>86</v>
      </c>
      <c r="C13" s="3" t="s">
        <v>337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188</v>
      </c>
      <c r="B15" s="8" t="s">
        <v>86</v>
      </c>
      <c r="C15" s="3" t="s">
        <v>337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336</v>
      </c>
    </row>
    <row r="19" spans="1:7" ht="13" customHeight="1" x14ac:dyDescent="0.3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5">
      <c r="A20" s="3" t="s">
        <v>166</v>
      </c>
      <c r="B20" s="8" t="s">
        <v>86</v>
      </c>
      <c r="C20" s="3" t="s">
        <v>337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189</v>
      </c>
      <c r="B22" s="8" t="s">
        <v>86</v>
      </c>
      <c r="C22" s="3" t="s">
        <v>337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188</v>
      </c>
      <c r="B24" s="8" t="s">
        <v>86</v>
      </c>
      <c r="C24" s="3" t="s">
        <v>337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LaLXZfcGEGK/1YnXQm4e/1hc/9hqG0iowzm4v0aC7e4ggg4Tl3hcwJInDGf7o7FElB5/2BnJAOYtBv20UIONzA==" saltValue="KxSGnkrV9xKlpm5sf4+Plg==" spinCount="100000" sheet="1" objects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3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5">
      <c r="B3" s="19" t="s">
        <v>93</v>
      </c>
      <c r="C3" s="55">
        <v>6.4333244558641197E-3</v>
      </c>
    </row>
    <row r="4" spans="1:8" ht="15.75" customHeight="1" x14ac:dyDescent="0.25">
      <c r="B4" s="19" t="s">
        <v>97</v>
      </c>
      <c r="C4" s="101">
        <v>0.15904549948856239</v>
      </c>
    </row>
    <row r="5" spans="1:8" ht="15.75" customHeight="1" x14ac:dyDescent="0.25">
      <c r="B5" s="19" t="s">
        <v>95</v>
      </c>
      <c r="C5" s="101">
        <v>5.8302992070967737E-2</v>
      </c>
    </row>
    <row r="6" spans="1:8" ht="15.75" customHeight="1" x14ac:dyDescent="0.25">
      <c r="B6" s="19" t="s">
        <v>91</v>
      </c>
      <c r="C6" s="101">
        <v>0.2286118697475612</v>
      </c>
    </row>
    <row r="7" spans="1:8" ht="15.75" customHeight="1" x14ac:dyDescent="0.25">
      <c r="B7" s="19" t="s">
        <v>96</v>
      </c>
      <c r="C7" s="101">
        <v>0.33446188393416798</v>
      </c>
    </row>
    <row r="8" spans="1:8" ht="15.75" customHeight="1" x14ac:dyDescent="0.25">
      <c r="B8" s="19" t="s">
        <v>98</v>
      </c>
      <c r="C8" s="101">
        <v>6.2025858391936252E-3</v>
      </c>
    </row>
    <row r="9" spans="1:8" ht="15.75" customHeight="1" x14ac:dyDescent="0.25">
      <c r="B9" s="19" t="s">
        <v>92</v>
      </c>
      <c r="C9" s="101">
        <v>0.13095877111869419</v>
      </c>
    </row>
    <row r="10" spans="1:8" ht="15.75" customHeight="1" x14ac:dyDescent="0.25">
      <c r="B10" s="19" t="s">
        <v>94</v>
      </c>
      <c r="C10" s="101">
        <v>7.598307334498848E-2</v>
      </c>
    </row>
    <row r="11" spans="1:8" ht="15.75" customHeight="1" x14ac:dyDescent="0.25">
      <c r="B11" s="27" t="s">
        <v>60</v>
      </c>
      <c r="C11" s="48">
        <f>SUM(C3:C10)</f>
        <v>0.99999999999999978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83</v>
      </c>
      <c r="B13" s="29" t="s">
        <v>82</v>
      </c>
      <c r="C13" s="102" t="s">
        <v>74</v>
      </c>
      <c r="D13" s="102" t="s">
        <v>77</v>
      </c>
      <c r="E13" s="102" t="s">
        <v>75</v>
      </c>
      <c r="F13" s="102" t="s">
        <v>76</v>
      </c>
      <c r="G13" s="19"/>
    </row>
    <row r="14" spans="1:8" ht="15.75" customHeight="1" x14ac:dyDescent="0.25">
      <c r="B14" s="19" t="s">
        <v>84</v>
      </c>
      <c r="C14" s="55">
        <v>0.15321348525465009</v>
      </c>
      <c r="D14" s="55">
        <v>0.15321348525465009</v>
      </c>
      <c r="E14" s="55">
        <v>0.15321348525465009</v>
      </c>
      <c r="F14" s="55">
        <v>0.15321348525465009</v>
      </c>
    </row>
    <row r="15" spans="1:8" ht="15.75" customHeight="1" x14ac:dyDescent="0.25">
      <c r="B15" s="19" t="s">
        <v>102</v>
      </c>
      <c r="C15" s="101">
        <v>0.2483146274519738</v>
      </c>
      <c r="D15" s="101">
        <v>0.2483146274519738</v>
      </c>
      <c r="E15" s="101">
        <v>0.2483146274519738</v>
      </c>
      <c r="F15" s="101">
        <v>0.2483146274519738</v>
      </c>
    </row>
    <row r="16" spans="1:8" ht="15.75" customHeight="1" x14ac:dyDescent="0.25">
      <c r="B16" s="19" t="s">
        <v>2</v>
      </c>
      <c r="C16" s="101">
        <v>2.807801387896397E-2</v>
      </c>
      <c r="D16" s="101">
        <v>2.807801387896397E-2</v>
      </c>
      <c r="E16" s="101">
        <v>2.807801387896397E-2</v>
      </c>
      <c r="F16" s="101">
        <v>2.807801387896397E-2</v>
      </c>
    </row>
    <row r="17" spans="1:8" ht="15.75" customHeight="1" x14ac:dyDescent="0.25">
      <c r="B17" s="19" t="s">
        <v>90</v>
      </c>
      <c r="C17" s="101">
        <v>4.2090576290699372E-3</v>
      </c>
      <c r="D17" s="101">
        <v>4.2090576290699372E-3</v>
      </c>
      <c r="E17" s="101">
        <v>4.2090576290699372E-3</v>
      </c>
      <c r="F17" s="101">
        <v>4.2090576290699372E-3</v>
      </c>
    </row>
    <row r="18" spans="1:8" ht="15.75" customHeight="1" x14ac:dyDescent="0.25">
      <c r="B18" s="19" t="s">
        <v>3</v>
      </c>
      <c r="C18" s="101">
        <v>1.3659329639407301E-4</v>
      </c>
      <c r="D18" s="101">
        <v>1.3659329639407301E-4</v>
      </c>
      <c r="E18" s="101">
        <v>1.3659329639407301E-4</v>
      </c>
      <c r="F18" s="101">
        <v>1.3659329639407301E-4</v>
      </c>
    </row>
    <row r="19" spans="1:8" ht="15.75" customHeight="1" x14ac:dyDescent="0.25">
      <c r="B19" s="19" t="s">
        <v>101</v>
      </c>
      <c r="C19" s="101">
        <v>6.6078590648540741E-2</v>
      </c>
      <c r="D19" s="101">
        <v>6.6078590648540741E-2</v>
      </c>
      <c r="E19" s="101">
        <v>6.6078590648540741E-2</v>
      </c>
      <c r="F19" s="101">
        <v>6.6078590648540741E-2</v>
      </c>
    </row>
    <row r="20" spans="1:8" ht="15.75" customHeight="1" x14ac:dyDescent="0.25">
      <c r="B20" s="19" t="s">
        <v>79</v>
      </c>
      <c r="C20" s="101">
        <v>3.1979892208152312E-3</v>
      </c>
      <c r="D20" s="101">
        <v>3.1979892208152312E-3</v>
      </c>
      <c r="E20" s="101">
        <v>3.1979892208152312E-3</v>
      </c>
      <c r="F20" s="101">
        <v>3.1979892208152312E-3</v>
      </c>
    </row>
    <row r="21" spans="1:8" ht="15.75" customHeight="1" x14ac:dyDescent="0.25">
      <c r="B21" s="19" t="s">
        <v>88</v>
      </c>
      <c r="C21" s="101">
        <v>0.16373895085172649</v>
      </c>
      <c r="D21" s="101">
        <v>0.16373895085172649</v>
      </c>
      <c r="E21" s="101">
        <v>0.16373895085172649</v>
      </c>
      <c r="F21" s="101">
        <v>0.16373895085172649</v>
      </c>
    </row>
    <row r="22" spans="1:8" ht="15.75" customHeight="1" x14ac:dyDescent="0.25">
      <c r="B22" s="19" t="s">
        <v>99</v>
      </c>
      <c r="C22" s="101">
        <v>0.3330326917678656</v>
      </c>
      <c r="D22" s="101">
        <v>0.3330326917678656</v>
      </c>
      <c r="E22" s="101">
        <v>0.3330326917678656</v>
      </c>
      <c r="F22" s="101">
        <v>0.3330326917678656</v>
      </c>
    </row>
    <row r="23" spans="1:8" ht="15.75" customHeight="1" x14ac:dyDescent="0.25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5">
      <c r="B26" s="19" t="s">
        <v>81</v>
      </c>
      <c r="C26" s="55">
        <v>4.7503243000000001E-2</v>
      </c>
    </row>
    <row r="27" spans="1:8" ht="15.75" customHeight="1" x14ac:dyDescent="0.25">
      <c r="B27" s="19" t="s">
        <v>89</v>
      </c>
      <c r="C27" s="101">
        <v>1.0367542E-2</v>
      </c>
    </row>
    <row r="28" spans="1:8" ht="15.75" customHeight="1" x14ac:dyDescent="0.25">
      <c r="B28" s="19" t="s">
        <v>103</v>
      </c>
      <c r="C28" s="101">
        <v>0.17293429099999999</v>
      </c>
    </row>
    <row r="29" spans="1:8" ht="15.75" customHeight="1" x14ac:dyDescent="0.25">
      <c r="B29" s="19" t="s">
        <v>86</v>
      </c>
      <c r="C29" s="101">
        <v>0.15789878800000001</v>
      </c>
    </row>
    <row r="30" spans="1:8" ht="15.75" customHeight="1" x14ac:dyDescent="0.25">
      <c r="B30" s="19" t="s">
        <v>4</v>
      </c>
      <c r="C30" s="101">
        <v>5.576656E-2</v>
      </c>
    </row>
    <row r="31" spans="1:8" ht="15.75" customHeight="1" x14ac:dyDescent="0.25">
      <c r="B31" s="19" t="s">
        <v>80</v>
      </c>
      <c r="C31" s="101">
        <v>6.3201558000000005E-2</v>
      </c>
    </row>
    <row r="32" spans="1:8" ht="15.75" customHeight="1" x14ac:dyDescent="0.25">
      <c r="B32" s="19" t="s">
        <v>85</v>
      </c>
      <c r="C32" s="101">
        <v>1.0057959E-2</v>
      </c>
    </row>
    <row r="33" spans="2:3" ht="15.75" customHeight="1" x14ac:dyDescent="0.25">
      <c r="B33" s="19" t="s">
        <v>100</v>
      </c>
      <c r="C33" s="101">
        <v>0.165459261</v>
      </c>
    </row>
    <row r="34" spans="2:3" ht="15.75" customHeight="1" x14ac:dyDescent="0.25">
      <c r="B34" s="19" t="s">
        <v>87</v>
      </c>
      <c r="C34" s="101">
        <v>0.316810798</v>
      </c>
    </row>
    <row r="35" spans="2:3" ht="15.75" customHeight="1" x14ac:dyDescent="0.25">
      <c r="B35" s="27" t="s">
        <v>60</v>
      </c>
      <c r="C35" s="48">
        <f>SUM(C26:C34)</f>
        <v>1</v>
      </c>
    </row>
  </sheetData>
  <sheetProtection algorithmName="SHA-512" hashValue="Jf87lJ+pJXNuXyN4XJAE1dGmRYr99MzY1cB2rDpbvf61ibaaDjlPmkUwUbpJjdRkDggRallFXTTvTF/NNwLnvA==" saltValue="pt3UGQZhWB7og02HzApKr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5">
      <c r="A2" s="3" t="s">
        <v>121</v>
      </c>
      <c r="B2" s="5" t="s">
        <v>111</v>
      </c>
      <c r="C2" s="52">
        <f>IFERROR(1-_xlfn.NORM.DIST(_xlfn.NORM.INV(SUM(C4:C5), 0, 1) + 1, 0, 1, TRUE), "")</f>
        <v>0.58627563845335984</v>
      </c>
      <c r="D2" s="52">
        <f>IFERROR(1-_xlfn.NORM.DIST(_xlfn.NORM.INV(SUM(D4:D5), 0, 1) + 1, 0, 1, TRUE), "")</f>
        <v>0.58627563845335984</v>
      </c>
      <c r="E2" s="52">
        <f>IFERROR(1-_xlfn.NORM.DIST(_xlfn.NORM.INV(SUM(E4:E5), 0, 1) + 1, 0, 1, TRUE), "")</f>
        <v>0.45771654958700114</v>
      </c>
      <c r="F2" s="52">
        <f>IFERROR(1-_xlfn.NORM.DIST(_xlfn.NORM.INV(SUM(F4:F5), 0, 1) + 1, 0, 1, TRUE), "")</f>
        <v>0.27775857777504842</v>
      </c>
      <c r="G2" s="52">
        <f>IFERROR(1-_xlfn.NORM.DIST(_xlfn.NORM.INV(SUM(G4:G5), 0, 1) + 1, 0, 1, TRUE), "")</f>
        <v>0.26399607154080817</v>
      </c>
    </row>
    <row r="3" spans="1:15" ht="15.75" customHeight="1" x14ac:dyDescent="0.25">
      <c r="B3" s="5" t="s">
        <v>108</v>
      </c>
      <c r="C3" s="52">
        <f>IFERROR(_xlfn.NORM.DIST(_xlfn.NORM.INV(SUM(C4:C5), 0, 1) + 1, 0, 1, TRUE) - SUM(C4:C5), "")</f>
        <v>0.30210759254664021</v>
      </c>
      <c r="D3" s="52">
        <f>IFERROR(_xlfn.NORM.DIST(_xlfn.NORM.INV(SUM(D4:D5), 0, 1) + 1, 0, 1, TRUE) - SUM(D4:D5), "")</f>
        <v>0.30210759254664021</v>
      </c>
      <c r="E3" s="52">
        <f>IFERROR(_xlfn.NORM.DIST(_xlfn.NORM.INV(SUM(E4:E5), 0, 1) + 1, 0, 1, TRUE) - SUM(E4:E5), "")</f>
        <v>0.35657217541299885</v>
      </c>
      <c r="F3" s="52">
        <f>IFERROR(_xlfn.NORM.DIST(_xlfn.NORM.INV(SUM(F4:F5), 0, 1) + 1, 0, 1, TRUE) - SUM(F4:F5), "")</f>
        <v>0.38151703222495159</v>
      </c>
      <c r="G3" s="52">
        <f>IFERROR(_xlfn.NORM.DIST(_xlfn.NORM.INV(SUM(G4:G5), 0, 1) + 1, 0, 1, TRUE) - SUM(G4:G5), "")</f>
        <v>0.37991248845919179</v>
      </c>
    </row>
    <row r="4" spans="1:15" ht="15.75" customHeight="1" x14ac:dyDescent="0.25">
      <c r="B4" s="5" t="s">
        <v>110</v>
      </c>
      <c r="C4" s="45">
        <v>5.3734197999999997E-2</v>
      </c>
      <c r="D4" s="53">
        <v>5.3734197999999997E-2</v>
      </c>
      <c r="E4" s="53">
        <v>0.11594678999999999</v>
      </c>
      <c r="F4" s="53">
        <v>0.21983448</v>
      </c>
      <c r="G4" s="53">
        <v>0.22190624</v>
      </c>
    </row>
    <row r="5" spans="1:15" ht="15.75" customHeight="1" x14ac:dyDescent="0.25">
      <c r="B5" s="5" t="s">
        <v>106</v>
      </c>
      <c r="C5" s="45">
        <v>5.7882571000000001E-2</v>
      </c>
      <c r="D5" s="53">
        <v>5.7882571000000001E-2</v>
      </c>
      <c r="E5" s="53">
        <v>6.9764485000000001E-2</v>
      </c>
      <c r="F5" s="53">
        <v>0.12088991</v>
      </c>
      <c r="G5" s="53">
        <v>0.1341852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122</v>
      </c>
      <c r="B8" s="5" t="s">
        <v>112</v>
      </c>
      <c r="C8" s="52">
        <f>IFERROR(1-_xlfn.NORM.DIST(_xlfn.NORM.INV(SUM(C10:C11), 0, 1) + 1, 0, 1, TRUE), "")</f>
        <v>0.50218939490705505</v>
      </c>
      <c r="D8" s="52">
        <f>IFERROR(1-_xlfn.NORM.DIST(_xlfn.NORM.INV(SUM(D10:D11), 0, 1) + 1, 0, 1, TRUE), "")</f>
        <v>0.50218939490705505</v>
      </c>
      <c r="E8" s="52">
        <f>IFERROR(1-_xlfn.NORM.DIST(_xlfn.NORM.INV(SUM(E10:E11), 0, 1) + 1, 0, 1, TRUE), "")</f>
        <v>0.51204859940410108</v>
      </c>
      <c r="F8" s="52">
        <f>IFERROR(1-_xlfn.NORM.DIST(_xlfn.NORM.INV(SUM(F10:F11), 0, 1) + 1, 0, 1, TRUE), "")</f>
        <v>0.5249460229502324</v>
      </c>
      <c r="G8" s="52">
        <f>IFERROR(1-_xlfn.NORM.DIST(_xlfn.NORM.INV(SUM(G10:G11), 0, 1) + 1, 0, 1, TRUE), "")</f>
        <v>0.60647658220264544</v>
      </c>
    </row>
    <row r="9" spans="1:15" ht="15.75" customHeight="1" x14ac:dyDescent="0.25">
      <c r="B9" s="5" t="s">
        <v>109</v>
      </c>
      <c r="C9" s="52">
        <f>IFERROR(_xlfn.NORM.DIST(_xlfn.NORM.INV(SUM(C10:C11), 0, 1) + 1, 0, 1, TRUE) - SUM(C10:C11), "")</f>
        <v>0.34047964909294492</v>
      </c>
      <c r="D9" s="52">
        <f>IFERROR(_xlfn.NORM.DIST(_xlfn.NORM.INV(SUM(D10:D11), 0, 1) + 1, 0, 1, TRUE) - SUM(D10:D11), "")</f>
        <v>0.34047964909294492</v>
      </c>
      <c r="E9" s="52">
        <f>IFERROR(_xlfn.NORM.DIST(_xlfn.NORM.INV(SUM(E10:E11), 0, 1) + 1, 0, 1, TRUE) - SUM(E10:E11), "")</f>
        <v>0.3364947325958989</v>
      </c>
      <c r="F9" s="52">
        <f>IFERROR(_xlfn.NORM.DIST(_xlfn.NORM.INV(SUM(F10:F11), 0, 1) + 1, 0, 1, TRUE) - SUM(F10:F11), "")</f>
        <v>0.3310657530497676</v>
      </c>
      <c r="G9" s="52">
        <f>IFERROR(_xlfn.NORM.DIST(_xlfn.NORM.INV(SUM(G10:G11), 0, 1) + 1, 0, 1, TRUE) - SUM(G10:G11), "")</f>
        <v>0.29150735779735448</v>
      </c>
    </row>
    <row r="10" spans="1:15" ht="15.75" customHeight="1" x14ac:dyDescent="0.25">
      <c r="B10" s="5" t="s">
        <v>107</v>
      </c>
      <c r="C10" s="45">
        <v>0.11014122</v>
      </c>
      <c r="D10" s="53">
        <v>0.11014122</v>
      </c>
      <c r="E10" s="53">
        <v>0.10288551999999999</v>
      </c>
      <c r="F10" s="53">
        <v>0.10707898</v>
      </c>
      <c r="G10" s="53">
        <v>8.0517721000000014E-2</v>
      </c>
    </row>
    <row r="11" spans="1:15" ht="15.75" customHeight="1" x14ac:dyDescent="0.25">
      <c r="B11" s="5" t="s">
        <v>119</v>
      </c>
      <c r="C11" s="45">
        <v>4.7189736000000003E-2</v>
      </c>
      <c r="D11" s="53">
        <v>4.7189736000000003E-2</v>
      </c>
      <c r="E11" s="53">
        <v>4.8571147999999988E-2</v>
      </c>
      <c r="F11" s="53">
        <v>3.6909244000000001E-2</v>
      </c>
      <c r="G11" s="53">
        <v>2.1498339000000002E-2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5">
      <c r="B14" s="11" t="s">
        <v>117</v>
      </c>
      <c r="C14" s="51">
        <v>0.82497910925000018</v>
      </c>
      <c r="D14" s="54">
        <v>0.80162762072500005</v>
      </c>
      <c r="E14" s="54">
        <v>0.80162762072500005</v>
      </c>
      <c r="F14" s="54">
        <v>0.47399307269000007</v>
      </c>
      <c r="G14" s="54">
        <v>0.47399307269000007</v>
      </c>
      <c r="H14" s="45">
        <v>0.4</v>
      </c>
      <c r="I14" s="55">
        <v>0.4</v>
      </c>
      <c r="J14" s="55">
        <v>0.4</v>
      </c>
      <c r="K14" s="55">
        <v>0.4</v>
      </c>
      <c r="L14" s="45">
        <v>0.34899999999999998</v>
      </c>
      <c r="M14" s="55">
        <v>0.34899999999999998</v>
      </c>
      <c r="N14" s="55">
        <v>0.34899999999999998</v>
      </c>
      <c r="O14" s="55">
        <v>0.34899999999999998</v>
      </c>
    </row>
    <row r="15" spans="1:15" ht="15.75" customHeight="1" x14ac:dyDescent="0.25">
      <c r="B15" s="11" t="s">
        <v>118</v>
      </c>
      <c r="C15" s="52">
        <f t="shared" ref="C15:O15" si="0">iron_deficiency_anaemia*C14</f>
        <v>0.41830648232432177</v>
      </c>
      <c r="D15" s="52">
        <f t="shared" si="0"/>
        <v>0.40646608671623191</v>
      </c>
      <c r="E15" s="52">
        <f t="shared" si="0"/>
        <v>0.40646608671623191</v>
      </c>
      <c r="F15" s="52">
        <f t="shared" si="0"/>
        <v>0.24033866150053718</v>
      </c>
      <c r="G15" s="52">
        <f t="shared" si="0"/>
        <v>0.24033866150053718</v>
      </c>
      <c r="H15" s="52">
        <f t="shared" si="0"/>
        <v>0.20282039999999998</v>
      </c>
      <c r="I15" s="52">
        <f t="shared" si="0"/>
        <v>0.20282039999999998</v>
      </c>
      <c r="J15" s="52">
        <f t="shared" si="0"/>
        <v>0.20282039999999998</v>
      </c>
      <c r="K15" s="52">
        <f t="shared" si="0"/>
        <v>0.20282039999999998</v>
      </c>
      <c r="L15" s="52">
        <f t="shared" si="0"/>
        <v>0.17696079899999995</v>
      </c>
      <c r="M15" s="52">
        <f t="shared" si="0"/>
        <v>0.17696079899999995</v>
      </c>
      <c r="N15" s="52">
        <f t="shared" si="0"/>
        <v>0.17696079899999995</v>
      </c>
      <c r="O15" s="52">
        <f t="shared" si="0"/>
        <v>0.17696079899999995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rJLMzmva3X0Om0Zl0opMelp1UILk5NV0jaZ/g8RALri7wK1AyG6w8Skd4DomZa9HzrxeLxzr5t9onJF652f6vw==" saltValue="8AgOVCSNYGV6PtJVE7jCV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5">
      <c r="A2" s="3" t="s">
        <v>123</v>
      </c>
      <c r="B2" s="3" t="s">
        <v>124</v>
      </c>
      <c r="C2" s="45">
        <v>0.83068748469999998</v>
      </c>
      <c r="D2" s="53">
        <v>0.58612727999999992</v>
      </c>
      <c r="E2" s="53"/>
      <c r="F2" s="53"/>
      <c r="G2" s="53"/>
    </row>
    <row r="3" spans="1:7" x14ac:dyDescent="0.25">
      <c r="B3" s="3" t="s">
        <v>127</v>
      </c>
      <c r="C3" s="53">
        <v>5.4924544999999998E-2</v>
      </c>
      <c r="D3" s="53">
        <v>0.18740947999999999</v>
      </c>
      <c r="E3" s="53"/>
      <c r="F3" s="53"/>
      <c r="G3" s="53"/>
    </row>
    <row r="4" spans="1:7" x14ac:dyDescent="0.25">
      <c r="B4" s="3" t="s">
        <v>126</v>
      </c>
      <c r="C4" s="53">
        <v>9.7029933999999998E-2</v>
      </c>
      <c r="D4" s="53">
        <v>0.20758251</v>
      </c>
      <c r="E4" s="53">
        <v>0.98748785257339511</v>
      </c>
      <c r="F4" s="53">
        <v>0.93983435630798295</v>
      </c>
      <c r="G4" s="53"/>
    </row>
    <row r="5" spans="1:7" x14ac:dyDescent="0.25">
      <c r="B5" s="3" t="s">
        <v>125</v>
      </c>
      <c r="C5" s="52">
        <v>1.7358064650000001E-2</v>
      </c>
      <c r="D5" s="52">
        <v>1.8880732000000001E-2</v>
      </c>
      <c r="E5" s="52">
        <f>1-SUM(E2:E4)</f>
        <v>1.2512147426604892E-2</v>
      </c>
      <c r="F5" s="52">
        <f>1-SUM(F2:F4)</f>
        <v>6.0165643692017046E-2</v>
      </c>
      <c r="G5" s="52">
        <f>1-SUM(G2:G4)</f>
        <v>1</v>
      </c>
    </row>
  </sheetData>
  <sheetProtection algorithmName="SHA-512" hashValue="In3vsf3Aogt4DRLbS2xs7VOejzc1KfI8GiG1uExZGDxTCukautPqwp3CGzh1WDSusbHFFIjeA/9/mttVbKzO7Q==" saltValue="U9vRwTsrnZQzu63GiY8J3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vqWynOkeoh8r5T3BO5gRrbsQItll+F/fH6r4TcTzp1VHcXxrBO1Z6ZkmxHZfc0HgWoASFuuE+Ojzfqu3pvJ9AQ==" saltValue="5mxiomCyOJJZus0m5Dw7B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147</v>
      </c>
      <c r="B1" s="4" t="s">
        <v>145</v>
      </c>
    </row>
    <row r="2" spans="1:2" x14ac:dyDescent="0.25">
      <c r="A2" s="8" t="s">
        <v>144</v>
      </c>
      <c r="B2" s="41">
        <v>10</v>
      </c>
    </row>
    <row r="3" spans="1:2" x14ac:dyDescent="0.25">
      <c r="A3" s="8" t="s">
        <v>143</v>
      </c>
      <c r="B3" s="41">
        <v>10</v>
      </c>
    </row>
    <row r="4" spans="1:2" x14ac:dyDescent="0.25">
      <c r="A4" s="8" t="s">
        <v>142</v>
      </c>
      <c r="B4" s="41">
        <v>10</v>
      </c>
    </row>
    <row r="5" spans="1:2" x14ac:dyDescent="0.25">
      <c r="A5" s="8" t="s">
        <v>146</v>
      </c>
      <c r="B5" s="41">
        <v>10</v>
      </c>
    </row>
    <row r="6" spans="1:2" x14ac:dyDescent="0.25">
      <c r="A6" s="8" t="s">
        <v>140</v>
      </c>
      <c r="B6" s="41">
        <v>10</v>
      </c>
    </row>
    <row r="7" spans="1:2" x14ac:dyDescent="0.25">
      <c r="A7" s="8" t="s">
        <v>141</v>
      </c>
      <c r="B7" s="41">
        <v>10</v>
      </c>
    </row>
  </sheetData>
  <sheetProtection algorithmName="SHA-512" hashValue="aLQjP4pLLD8MYZLoOsgVaJAgreiUpiThYS+ZvH3yDIzygfPmCOsvOU3WEq4DpKUgTBk3XIZrQf3xBs3Mk3dM+Q==" saltValue="GW2mEFRrTecDEksqojfOl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ht="13" customHeight="1" x14ac:dyDescent="0.3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5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5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5">
      <c r="B5" s="32" t="s">
        <v>77</v>
      </c>
      <c r="C5" s="47"/>
      <c r="D5" s="47"/>
      <c r="E5" s="38" t="str">
        <f>IF(E$7="","",E$7)</f>
        <v/>
      </c>
    </row>
    <row r="6" spans="1:5" x14ac:dyDescent="0.25">
      <c r="B6" s="32" t="s">
        <v>75</v>
      </c>
      <c r="C6" s="47"/>
      <c r="D6" s="47"/>
      <c r="E6" s="38" t="str">
        <f>IF(E$7="","",E$7)</f>
        <v/>
      </c>
    </row>
    <row r="7" spans="1:5" x14ac:dyDescent="0.25">
      <c r="B7" s="32" t="s">
        <v>148</v>
      </c>
      <c r="C7" s="31"/>
      <c r="D7" s="30"/>
      <c r="E7" s="47"/>
    </row>
    <row r="9" spans="1:5" ht="13" customHeight="1" x14ac:dyDescent="0.3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5">
      <c r="B10" s="32" t="s">
        <v>78</v>
      </c>
      <c r="C10" s="47"/>
      <c r="D10" s="47"/>
      <c r="E10" s="38" t="str">
        <f>IF(E$7="","",E$7)</f>
        <v/>
      </c>
    </row>
    <row r="11" spans="1:5" x14ac:dyDescent="0.25">
      <c r="B11" s="32" t="s">
        <v>74</v>
      </c>
      <c r="C11" s="47"/>
      <c r="D11" s="47"/>
      <c r="E11" s="38" t="str">
        <f>IF(E$7="","",E$7)</f>
        <v/>
      </c>
    </row>
    <row r="12" spans="1:5" x14ac:dyDescent="0.25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5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5">
      <c r="B14" s="32" t="s">
        <v>148</v>
      </c>
      <c r="C14" s="31"/>
      <c r="D14" s="30"/>
      <c r="E14" s="47"/>
    </row>
    <row r="16" spans="1:5" ht="13" customHeight="1" x14ac:dyDescent="0.3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5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5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5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5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5">
      <c r="B21" s="32" t="s">
        <v>148</v>
      </c>
      <c r="C21" s="31"/>
      <c r="D21" s="30"/>
      <c r="E21" s="47"/>
    </row>
  </sheetData>
  <sheetProtection algorithmName="SHA-512" hashValue="L+vf43XQBmhym2lHOyRSgHhKh2ZsWBe7Zt5AochYWPb79M++wmLsg0zjqonbWBdxfk6dukjNm1wRNsiiY46hiA==" saltValue="yu5VSgIJkbqYo2PMfUQPb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0</v>
      </c>
      <c r="B1" s="36" t="s">
        <v>159</v>
      </c>
      <c r="C1" s="40" t="s">
        <v>161</v>
      </c>
      <c r="D1" s="40" t="s">
        <v>157</v>
      </c>
    </row>
    <row r="2" spans="1:4" ht="13" customHeight="1" x14ac:dyDescent="0.3">
      <c r="A2" s="40" t="s">
        <v>163</v>
      </c>
      <c r="B2" s="32" t="s">
        <v>164</v>
      </c>
      <c r="C2" s="32" t="s">
        <v>162</v>
      </c>
      <c r="D2" s="47"/>
    </row>
    <row r="3" spans="1:4" ht="13" customHeight="1" x14ac:dyDescent="0.3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fCG3ODGETchsuAol8EtVCRtK3HDRqEjRZPNN3F+Qt0E42w1Ped3aZ5axeUkNEqQMHKzggPJ+lLId3c4MvMbXTQ==" saltValue="Z11p+4XRC02arHUqYlviy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lang=es</cp:keywords>
  <cp:lastModifiedBy>Tharindu Wickramaarachchi</cp:lastModifiedBy>
  <dcterms:created xsi:type="dcterms:W3CDTF">2017-08-01T10:42:13Z</dcterms:created>
  <dcterms:modified xsi:type="dcterms:W3CDTF">2024-03-15T02:27:40Z</dcterms:modified>
</cp:coreProperties>
</file>