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A8B4EA8-848D-4F11-80EA-C56972A2912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H38" i="2"/>
  <c r="G38" i="2"/>
  <c r="I38" i="2" s="1"/>
  <c r="A24" i="2"/>
  <c r="A16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32" i="2" l="1"/>
  <c r="F12" i="26"/>
  <c r="I40" i="2"/>
  <c r="D19" i="26"/>
  <c r="I6" i="2"/>
  <c r="I10" i="2"/>
  <c r="A3" i="2"/>
  <c r="I39" i="2"/>
  <c r="A13" i="2"/>
  <c r="A21" i="2"/>
  <c r="A29" i="2"/>
  <c r="A37" i="2"/>
  <c r="A14" i="2"/>
  <c r="A22" i="2"/>
  <c r="A30" i="2"/>
  <c r="A38" i="2"/>
  <c r="A40" i="2"/>
  <c r="D10" i="26"/>
  <c r="G12" i="26"/>
  <c r="E19" i="26"/>
  <c r="A15" i="2"/>
  <c r="A23" i="2"/>
  <c r="A31" i="2"/>
  <c r="E10" i="26"/>
  <c r="F10" i="26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<sst xmlns="http://schemas.openxmlformats.org/spreadsheetml/2006/main" count="2092" uniqueCount="341">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</sst>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11962935.375</v>
      </c>
    </row>
    <row r="8" spans="1:3" ht="15" customHeight="1" x14ac:dyDescent="0.25">
      <c r="B8" s="5" t="s">
        <v>44</v>
      </c>
      <c r="C8" s="44">
        <v>6.0999999999999999E-2</v>
      </c>
    </row>
    <row r="9" spans="1:3" ht="15" customHeight="1" x14ac:dyDescent="0.25">
      <c r="B9" s="5" t="s">
        <v>43</v>
      </c>
      <c r="C9" s="45">
        <v>1.24E-2</v>
      </c>
    </row>
    <row r="10" spans="1:3" ht="15" customHeight="1" x14ac:dyDescent="0.25">
      <c r="B10" s="5" t="s">
        <v>56</v>
      </c>
      <c r="C10" s="45">
        <v>0.71803596496582001</v>
      </c>
    </row>
    <row r="11" spans="1:3" ht="15" customHeight="1" x14ac:dyDescent="0.25">
      <c r="B11" s="5" t="s">
        <v>49</v>
      </c>
      <c r="C11" s="45">
        <v>0.84299999999999997</v>
      </c>
    </row>
    <row r="12" spans="1:3" ht="15" customHeight="1" x14ac:dyDescent="0.25">
      <c r="B12" s="5" t="s">
        <v>41</v>
      </c>
      <c r="C12" s="45">
        <v>0.64</v>
      </c>
    </row>
    <row r="13" spans="1:3" ht="15" customHeight="1" x14ac:dyDescent="0.25">
      <c r="B13" s="5" t="s">
        <v>62</v>
      </c>
      <c r="C13" s="45">
        <v>0.48499999999999999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0.11020000000000001</v>
      </c>
    </row>
    <row r="24" spans="1:3" ht="15" customHeight="1" x14ac:dyDescent="0.25">
      <c r="B24" s="15" t="s">
        <v>46</v>
      </c>
      <c r="C24" s="45">
        <v>0.46769999999999989</v>
      </c>
    </row>
    <row r="25" spans="1:3" ht="15" customHeight="1" x14ac:dyDescent="0.25">
      <c r="B25" s="15" t="s">
        <v>47</v>
      </c>
      <c r="C25" s="45">
        <v>0.34789999999999999</v>
      </c>
    </row>
    <row r="26" spans="1:3" ht="15" customHeight="1" x14ac:dyDescent="0.25">
      <c r="B26" s="15" t="s">
        <v>48</v>
      </c>
      <c r="C26" s="45">
        <v>7.4200000000000002E-2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0.31143580129065701</v>
      </c>
    </row>
    <row r="30" spans="1:3" ht="14.25" customHeight="1" x14ac:dyDescent="0.25">
      <c r="B30" s="25" t="s">
        <v>63</v>
      </c>
      <c r="C30" s="99">
        <v>7.3599695917792002E-2</v>
      </c>
    </row>
    <row r="31" spans="1:3" ht="14.25" customHeight="1" x14ac:dyDescent="0.25">
      <c r="B31" s="25" t="s">
        <v>10</v>
      </c>
      <c r="C31" s="99">
        <v>9.4704824507158905E-2</v>
      </c>
    </row>
    <row r="32" spans="1:3" ht="14.25" customHeight="1" x14ac:dyDescent="0.25">
      <c r="B32" s="25" t="s">
        <v>11</v>
      </c>
      <c r="C32" s="99">
        <v>0.52025967828439201</v>
      </c>
    </row>
    <row r="33" spans="1:5" ht="13" customHeight="1" x14ac:dyDescent="0.25">
      <c r="B33" s="27" t="s">
        <v>60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13.2875297972992</v>
      </c>
    </row>
    <row r="38" spans="1:5" ht="15" customHeight="1" x14ac:dyDescent="0.25">
      <c r="B38" s="11" t="s">
        <v>35</v>
      </c>
      <c r="C38" s="43">
        <v>21.633118872448499</v>
      </c>
      <c r="D38" s="12"/>
      <c r="E38" s="13"/>
    </row>
    <row r="39" spans="1:5" ht="15" customHeight="1" x14ac:dyDescent="0.25">
      <c r="B39" s="11" t="s">
        <v>61</v>
      </c>
      <c r="C39" s="43">
        <v>27.278294861236098</v>
      </c>
      <c r="D39" s="12"/>
      <c r="E39" s="12"/>
    </row>
    <row r="40" spans="1:5" ht="15" customHeight="1" x14ac:dyDescent="0.25">
      <c r="B40" s="11" t="s">
        <v>36</v>
      </c>
      <c r="C40" s="100">
        <v>1.21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10.41556578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7.8117999999999998E-3</v>
      </c>
      <c r="D45" s="12"/>
    </row>
    <row r="46" spans="1:5" ht="15.75" customHeight="1" x14ac:dyDescent="0.25">
      <c r="B46" s="11" t="s">
        <v>51</v>
      </c>
      <c r="C46" s="45">
        <v>9.2349500000000001E-2</v>
      </c>
      <c r="D46" s="12"/>
    </row>
    <row r="47" spans="1:5" ht="15.75" customHeight="1" x14ac:dyDescent="0.25">
      <c r="B47" s="11" t="s">
        <v>59</v>
      </c>
      <c r="C47" s="45">
        <v>8.6490299999999992E-2</v>
      </c>
      <c r="D47" s="12"/>
      <c r="E47" s="13"/>
    </row>
    <row r="48" spans="1:5" ht="15" customHeight="1" x14ac:dyDescent="0.25">
      <c r="B48" s="11" t="s">
        <v>58</v>
      </c>
      <c r="C48" s="46">
        <v>0.81334839999999997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0.52888299999999999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0.20147881000000001</v>
      </c>
    </row>
    <row r="63" spans="1:4" ht="15.75" customHeight="1" x14ac:dyDescent="0.3">
      <c r="A63" s="4"/>
    </row>
  </sheetData>
  <sheetProtection algorithmName="SHA-512" hashValue="MhK75NIwcYu8HCtOw2tVxuEwGgRCA/ujr+Fza3Z4TuWJsKB50l89fVamgFtWYYUzvqhm+GquhY8401bWGxfDZQ==" saltValue="wuGtqvjeYCXMzcb/+XrN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0.40452810463647698</v>
      </c>
      <c r="C2" s="98">
        <v>0.95</v>
      </c>
      <c r="D2" s="56">
        <v>50.420209969169832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39.709579037933892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295.10719290294543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0.38656991725663292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12.8418784817298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12.8418784817298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12.8418784817298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12.8418784817298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12.8418784817298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12.8418784817298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0.47412783438863898</v>
      </c>
      <c r="C16" s="98">
        <v>0.95</v>
      </c>
      <c r="D16" s="56">
        <v>0.54864428162514955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6.8391836861488278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6.8391836861488278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0.1019369507</v>
      </c>
      <c r="C21" s="98">
        <v>0.95</v>
      </c>
      <c r="D21" s="56">
        <v>3.9900848934620532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22.071689414352811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3.1E-2</v>
      </c>
      <c r="C23" s="98">
        <v>0.95</v>
      </c>
      <c r="D23" s="56">
        <v>4.1728995609348631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0.64923379646296298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0.43433056751162702</v>
      </c>
      <c r="C27" s="98">
        <v>0.95</v>
      </c>
      <c r="D27" s="56">
        <v>18.40378878530877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0.44794329999999999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96.281170578850436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1E-3</v>
      </c>
      <c r="C31" s="98">
        <v>0.95</v>
      </c>
      <c r="D31" s="56">
        <v>3.165382982361816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0.31777070000000002</v>
      </c>
      <c r="C32" s="98">
        <v>0.95</v>
      </c>
      <c r="D32" s="56">
        <v>1.1605072878943321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0.76533502067423298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0.244018495082855</v>
      </c>
      <c r="C38" s="98">
        <v>0.95</v>
      </c>
      <c r="D38" s="56">
        <v>2.5690343142936309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0.53775850000000003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7GljK5W+ainddFyQTofW7gjiJR24GSUSUr02DINxmG8nx3BaCYNtup6qqizW7SAQ55bcQEZmrPQgi0BP7K5okA==" saltValue="ZmEvQfPmxKX0AInDaLfD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uDG/YjbE/jNkjsrIW2H4CiWB9CIV9mZ4bpY4MhzGmkIqM6zpMOsfDqmLz5lH1FyRreDpU0npL9rW5lqldrGLlQ==" saltValue="f+JKpDDLJLF3ynZQ4LZxC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B/TGgiY9BdKOAPT5dXszTiQ0IJv+rbrBcpw4PR8E+CgE+BIq/iWbSCD2Lo3UGghXSa0K101Y4s+tdjFAAwCrVQ==" saltValue="qSD1247v+++rACn1apFW8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0.17420000000000002</v>
      </c>
      <c r="C3" s="21">
        <f>frac_mam_1_5months * 2.6</f>
        <v>0.17420000000000002</v>
      </c>
      <c r="D3" s="21">
        <f>frac_mam_6_11months * 2.6</f>
        <v>0.20800000000000002</v>
      </c>
      <c r="E3" s="21">
        <f>frac_mam_12_23months * 2.6</f>
        <v>0.17680000000000001</v>
      </c>
      <c r="F3" s="21">
        <f>frac_mam_24_59months * 2.6</f>
        <v>8.5800000000000001E-2</v>
      </c>
    </row>
    <row r="4" spans="1:6" ht="15.75" customHeight="1" x14ac:dyDescent="0.25">
      <c r="A4" s="3" t="s">
        <v>207</v>
      </c>
      <c r="B4" s="21">
        <f>frac_sam_1month * 2.6</f>
        <v>0.13780000000000001</v>
      </c>
      <c r="C4" s="21">
        <f>frac_sam_1_5months * 2.6</f>
        <v>0.13780000000000001</v>
      </c>
      <c r="D4" s="21">
        <f>frac_sam_6_11months * 2.6</f>
        <v>9.3600000000000003E-2</v>
      </c>
      <c r="E4" s="21">
        <f>frac_sam_12_23months * 2.6</f>
        <v>6.7599999999999993E-2</v>
      </c>
      <c r="F4" s="21">
        <f>frac_sam_24_59months * 2.6</f>
        <v>2.86E-2</v>
      </c>
    </row>
  </sheetData>
  <sheetProtection algorithmName="SHA-512" hashValue="DhKRD0AY1IyMXAY/D2D62wNnxxPGnrIK9WjD1vU57R07dWJYcmXMxnIn6MVgddJ1zSz11thJdtlJ1ocTyVddAw==" saltValue="EZwW4oPlzMDyW+ayBhgP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6.0999999999999999E-2</v>
      </c>
      <c r="E2" s="60">
        <f>food_insecure</f>
        <v>6.0999999999999999E-2</v>
      </c>
      <c r="F2" s="60">
        <f>food_insecure</f>
        <v>6.0999999999999999E-2</v>
      </c>
      <c r="G2" s="60">
        <f>food_insecure</f>
        <v>6.0999999999999999E-2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6.0999999999999999E-2</v>
      </c>
      <c r="F5" s="60">
        <f>food_insecure</f>
        <v>6.0999999999999999E-2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6.0999999999999999E-2</v>
      </c>
      <c r="F8" s="60">
        <f>food_insecure</f>
        <v>6.0999999999999999E-2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6.0999999999999999E-2</v>
      </c>
      <c r="F9" s="60">
        <f>food_insecure</f>
        <v>6.0999999999999999E-2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0.64</v>
      </c>
      <c r="E10" s="60">
        <f>IF(ISBLANK(comm_deliv), frac_children_health_facility,1)</f>
        <v>0.64</v>
      </c>
      <c r="F10" s="60">
        <f>IF(ISBLANK(comm_deliv), frac_children_health_facility,1)</f>
        <v>0.64</v>
      </c>
      <c r="G10" s="60">
        <f>IF(ISBLANK(comm_deliv), frac_children_health_facility,1)</f>
        <v>0.64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6.0999999999999999E-2</v>
      </c>
      <c r="I15" s="60">
        <f>food_insecure</f>
        <v>6.0999999999999999E-2</v>
      </c>
      <c r="J15" s="60">
        <f>food_insecure</f>
        <v>6.0999999999999999E-2</v>
      </c>
      <c r="K15" s="60">
        <f>food_insecure</f>
        <v>6.0999999999999999E-2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0.84299999999999997</v>
      </c>
      <c r="I18" s="60">
        <f>frac_PW_health_facility</f>
        <v>0.84299999999999997</v>
      </c>
      <c r="J18" s="60">
        <f>frac_PW_health_facility</f>
        <v>0.84299999999999997</v>
      </c>
      <c r="K18" s="60">
        <f>frac_PW_health_facility</f>
        <v>0.84299999999999997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1.24E-2</v>
      </c>
      <c r="I19" s="60">
        <f>frac_malaria_risk</f>
        <v>1.24E-2</v>
      </c>
      <c r="J19" s="60">
        <f>frac_malaria_risk</f>
        <v>1.24E-2</v>
      </c>
      <c r="K19" s="60">
        <f>frac_malaria_risk</f>
        <v>1.24E-2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0.48499999999999999</v>
      </c>
      <c r="M24" s="60">
        <f>famplan_unmet_need</f>
        <v>0.48499999999999999</v>
      </c>
      <c r="N24" s="60">
        <f>famplan_unmet_need</f>
        <v>0.48499999999999999</v>
      </c>
      <c r="O24" s="60">
        <f>famplan_unmet_need</f>
        <v>0.48499999999999999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0.14177433645553605</v>
      </c>
      <c r="M25" s="60">
        <f>(1-food_insecure)*(0.49)+food_insecure*(0.7)</f>
        <v>0.50280999999999998</v>
      </c>
      <c r="N25" s="60">
        <f>(1-food_insecure)*(0.49)+food_insecure*(0.7)</f>
        <v>0.50280999999999998</v>
      </c>
      <c r="O25" s="60">
        <f>(1-food_insecure)*(0.49)+food_insecure*(0.7)</f>
        <v>0.50280999999999998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6.0760429909515454E-2</v>
      </c>
      <c r="M26" s="60">
        <f>(1-food_insecure)*(0.21)+food_insecure*(0.3)</f>
        <v>0.21549000000000001</v>
      </c>
      <c r="N26" s="60">
        <f>(1-food_insecure)*(0.21)+food_insecure*(0.3)</f>
        <v>0.21549000000000001</v>
      </c>
      <c r="O26" s="60">
        <f>(1-food_insecure)*(0.21)+food_insecure*(0.3)</f>
        <v>0.21549000000000001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7.94292686691285E-2</v>
      </c>
      <c r="M27" s="60">
        <f>(1-food_insecure)*(0.3)</f>
        <v>0.28170000000000001</v>
      </c>
      <c r="N27" s="60">
        <f>(1-food_insecure)*(0.3)</f>
        <v>0.28170000000000001</v>
      </c>
      <c r="O27" s="60">
        <f>(1-food_insecure)*(0.3)</f>
        <v>0.28170000000000001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0.71803596496582001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1.24E-2</v>
      </c>
      <c r="D34" s="60">
        <f t="shared" si="3"/>
        <v>1.24E-2</v>
      </c>
      <c r="E34" s="60">
        <f t="shared" si="3"/>
        <v>1.24E-2</v>
      </c>
      <c r="F34" s="60">
        <f t="shared" si="3"/>
        <v>1.24E-2</v>
      </c>
      <c r="G34" s="60">
        <f t="shared" si="3"/>
        <v>1.24E-2</v>
      </c>
      <c r="H34" s="60">
        <f t="shared" si="3"/>
        <v>1.24E-2</v>
      </c>
      <c r="I34" s="60">
        <f t="shared" si="3"/>
        <v>1.24E-2</v>
      </c>
      <c r="J34" s="60">
        <f t="shared" si="3"/>
        <v>1.24E-2</v>
      </c>
      <c r="K34" s="60">
        <f t="shared" si="3"/>
        <v>1.24E-2</v>
      </c>
      <c r="L34" s="60">
        <f t="shared" si="3"/>
        <v>1.24E-2</v>
      </c>
      <c r="M34" s="60">
        <f t="shared" si="3"/>
        <v>1.24E-2</v>
      </c>
      <c r="N34" s="60">
        <f t="shared" si="3"/>
        <v>1.24E-2</v>
      </c>
      <c r="O34" s="60">
        <f t="shared" si="3"/>
        <v>1.24E-2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sFEbRRaRqk+UdNeknaEn9dMdRHK/e2ZNHbhIyogyPtXAnLRcuDvqa+yE3D4c+4Zcx7gKenrSucJQfwZU3ipaQ==" saltValue="7bpIP2um74izvfpp3ZvkC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f8umOnXMLLwm0ga7Z7/jpu8/82xAFfAc1RXOfO8V9WDfCOpn3We8hZzowzL8s0cIfGGyMHwFIPlPHiLQdQ2xYA==" saltValue="PEUp98/23adipEhUUNa0d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8eR3A/3lkp/Y7vikQiQYmh4qe1dYYg0x0rpAUp1CPXvUy8+6r6JviSAdms3Euy55kbZi8vuw1UnD86WI3tvfA==" saltValue="xZJw6RAoGHH3I27P/qVH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Kor1KTOEGG5blVBjn66wJhaHCwgWEKbJ45AyLuNI/PSmcm+hxaTJ16cWB29M7vE7klAMgAjgYyMoPiqRD/3Jg==" saltValue="TdCLLRUmRq36/EJaaGiWf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CC2M0bitEggv1ckaqGkYSQ/WRMeLxYcVXWXEEsmxW0v7vNBONtbXx1KHxHUDY6aXnYMh4X64EMMETbOrdR7Dw==" saltValue="tDuIdTum7sMQaG063RWGl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5QLL2bvK3p3zusJdJfWss706kQclZD0GuZmJrTAdwA+5ctq1EVQavV5wTwzZsK9mPJctXVv7MgXiCSm1yXkDw==" saltValue="x8chNbWg8VHvF1LGua5Zq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2447463.9276000001</v>
      </c>
      <c r="C2" s="49">
        <v>5039000</v>
      </c>
      <c r="D2" s="49">
        <v>9611000</v>
      </c>
      <c r="E2" s="49">
        <v>1264000</v>
      </c>
      <c r="F2" s="49">
        <v>1464000</v>
      </c>
      <c r="G2" s="17">
        <f t="shared" ref="G2:G11" si="0">C2+D2+E2+F2</f>
        <v>17378000</v>
      </c>
      <c r="H2" s="17">
        <f t="shared" ref="H2:H11" si="1">(B2 + stillbirth*B2/(1000-stillbirth))/(1-abortion)</f>
        <v>2810481.7663472444</v>
      </c>
      <c r="I2" s="17">
        <f t="shared" ref="I2:I11" si="2">G2-H2</f>
        <v>14567518.233652756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2453857.2288000002</v>
      </c>
      <c r="C3" s="50">
        <v>5089000</v>
      </c>
      <c r="D3" s="50">
        <v>9660000</v>
      </c>
      <c r="E3" s="50">
        <v>1250000</v>
      </c>
      <c r="F3" s="50">
        <v>1434000</v>
      </c>
      <c r="G3" s="17">
        <f t="shared" si="0"/>
        <v>17433000</v>
      </c>
      <c r="H3" s="17">
        <f t="shared" si="1"/>
        <v>2817823.348074655</v>
      </c>
      <c r="I3" s="17">
        <f t="shared" si="2"/>
        <v>14615176.651925344</v>
      </c>
    </row>
    <row r="4" spans="1:9" ht="15.75" customHeight="1" x14ac:dyDescent="0.25">
      <c r="A4" s="5">
        <f t="shared" si="3"/>
        <v>2023</v>
      </c>
      <c r="B4" s="49">
        <v>2459349.7612000001</v>
      </c>
      <c r="C4" s="50">
        <v>5149000</v>
      </c>
      <c r="D4" s="50">
        <v>9693000</v>
      </c>
      <c r="E4" s="50">
        <v>1236000</v>
      </c>
      <c r="F4" s="50">
        <v>1401000</v>
      </c>
      <c r="G4" s="17">
        <f t="shared" si="0"/>
        <v>17479000</v>
      </c>
      <c r="H4" s="17">
        <f t="shared" si="1"/>
        <v>2824130.5552972793</v>
      </c>
      <c r="I4" s="17">
        <f t="shared" si="2"/>
        <v>14654869.44470272</v>
      </c>
    </row>
    <row r="5" spans="1:9" ht="15.75" customHeight="1" x14ac:dyDescent="0.25">
      <c r="A5" s="5">
        <f t="shared" si="3"/>
        <v>2024</v>
      </c>
      <c r="B5" s="49">
        <v>2463902.1327999998</v>
      </c>
      <c r="C5" s="50">
        <v>5209000</v>
      </c>
      <c r="D5" s="50">
        <v>9722000</v>
      </c>
      <c r="E5" s="50">
        <v>1217000</v>
      </c>
      <c r="F5" s="50">
        <v>1370000</v>
      </c>
      <c r="G5" s="17">
        <f t="shared" si="0"/>
        <v>17518000</v>
      </c>
      <c r="H5" s="17">
        <f t="shared" si="1"/>
        <v>2829358.1532329037</v>
      </c>
      <c r="I5" s="17">
        <f t="shared" si="2"/>
        <v>14688641.846767096</v>
      </c>
    </row>
    <row r="6" spans="1:9" ht="15.75" customHeight="1" x14ac:dyDescent="0.25">
      <c r="A6" s="5">
        <f t="shared" si="3"/>
        <v>2025</v>
      </c>
      <c r="B6" s="49">
        <v>2467435.0499999998</v>
      </c>
      <c r="C6" s="50">
        <v>5265000</v>
      </c>
      <c r="D6" s="50">
        <v>9761000</v>
      </c>
      <c r="E6" s="50">
        <v>1193000</v>
      </c>
      <c r="F6" s="50">
        <v>1343000</v>
      </c>
      <c r="G6" s="17">
        <f t="shared" si="0"/>
        <v>17562000</v>
      </c>
      <c r="H6" s="17">
        <f t="shared" si="1"/>
        <v>2833415.0871311496</v>
      </c>
      <c r="I6" s="17">
        <f t="shared" si="2"/>
        <v>14728584.91286885</v>
      </c>
    </row>
    <row r="7" spans="1:9" ht="15.75" customHeight="1" x14ac:dyDescent="0.25">
      <c r="A7" s="5">
        <f t="shared" si="3"/>
        <v>2026</v>
      </c>
      <c r="B7" s="49">
        <v>2472057.7889999999</v>
      </c>
      <c r="C7" s="50">
        <v>5316000</v>
      </c>
      <c r="D7" s="50">
        <v>9814000</v>
      </c>
      <c r="E7" s="50">
        <v>1162000</v>
      </c>
      <c r="F7" s="50">
        <v>1318000</v>
      </c>
      <c r="G7" s="17">
        <f t="shared" si="0"/>
        <v>17610000</v>
      </c>
      <c r="H7" s="17">
        <f t="shared" si="1"/>
        <v>2838723.4896467375</v>
      </c>
      <c r="I7" s="17">
        <f t="shared" si="2"/>
        <v>14771276.510353263</v>
      </c>
    </row>
    <row r="8" spans="1:9" ht="15.75" customHeight="1" x14ac:dyDescent="0.25">
      <c r="A8" s="5">
        <f t="shared" si="3"/>
        <v>2027</v>
      </c>
      <c r="B8" s="49">
        <v>2475670.8480000012</v>
      </c>
      <c r="C8" s="50">
        <v>5362000</v>
      </c>
      <c r="D8" s="50">
        <v>9874000</v>
      </c>
      <c r="E8" s="50">
        <v>1125000</v>
      </c>
      <c r="F8" s="50">
        <v>1298000</v>
      </c>
      <c r="G8" s="17">
        <f t="shared" si="0"/>
        <v>17659000</v>
      </c>
      <c r="H8" s="17">
        <f t="shared" si="1"/>
        <v>2842872.4523038492</v>
      </c>
      <c r="I8" s="17">
        <f t="shared" si="2"/>
        <v>14816127.547696151</v>
      </c>
    </row>
    <row r="9" spans="1:9" ht="15.75" customHeight="1" x14ac:dyDescent="0.25">
      <c r="A9" s="5">
        <f t="shared" si="3"/>
        <v>2028</v>
      </c>
      <c r="B9" s="49">
        <v>2478303.7289999998</v>
      </c>
      <c r="C9" s="50">
        <v>5405000</v>
      </c>
      <c r="D9" s="50">
        <v>9942000</v>
      </c>
      <c r="E9" s="50">
        <v>1086000</v>
      </c>
      <c r="F9" s="50">
        <v>1281000</v>
      </c>
      <c r="G9" s="17">
        <f t="shared" si="0"/>
        <v>17714000</v>
      </c>
      <c r="H9" s="17">
        <f t="shared" si="1"/>
        <v>2845895.852959529</v>
      </c>
      <c r="I9" s="17">
        <f t="shared" si="2"/>
        <v>14868104.147040471</v>
      </c>
    </row>
    <row r="10" spans="1:9" ht="15.75" customHeight="1" x14ac:dyDescent="0.25">
      <c r="A10" s="5">
        <f t="shared" si="3"/>
        <v>2029</v>
      </c>
      <c r="B10" s="49">
        <v>2479924.92</v>
      </c>
      <c r="C10" s="50">
        <v>5446000</v>
      </c>
      <c r="D10" s="50">
        <v>10016000</v>
      </c>
      <c r="E10" s="50">
        <v>1050000</v>
      </c>
      <c r="F10" s="50">
        <v>1266000</v>
      </c>
      <c r="G10" s="17">
        <f t="shared" si="0"/>
        <v>17778000</v>
      </c>
      <c r="H10" s="17">
        <f t="shared" si="1"/>
        <v>2847757.505625329</v>
      </c>
      <c r="I10" s="17">
        <f t="shared" si="2"/>
        <v>14930242.49437467</v>
      </c>
    </row>
    <row r="11" spans="1:9" ht="15.75" customHeight="1" x14ac:dyDescent="0.25">
      <c r="A11" s="5">
        <f t="shared" si="3"/>
        <v>2030</v>
      </c>
      <c r="B11" s="49">
        <v>2480485.02</v>
      </c>
      <c r="C11" s="50">
        <v>5488000</v>
      </c>
      <c r="D11" s="50">
        <v>10096000</v>
      </c>
      <c r="E11" s="50">
        <v>1022000</v>
      </c>
      <c r="F11" s="50">
        <v>1251000</v>
      </c>
      <c r="G11" s="17">
        <f t="shared" si="0"/>
        <v>17857000</v>
      </c>
      <c r="H11" s="17">
        <f t="shared" si="1"/>
        <v>2848400.6819433044</v>
      </c>
      <c r="I11" s="17">
        <f t="shared" si="2"/>
        <v>15008599.318056695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5rXCISk9deI64Mm3kJ5S1SxTyxHMwbpy6na6eWnS/CikiNHcpWSbcrAjeXYvK+VskbGT2mDLYiDMmlby/X+HQ==" saltValue="O8i1rRLDinJxK4iOHpTZO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2.1117381761039207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2.1117381761039207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1.8208383896733842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1.8208383896733842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1.734541294925805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1.734541294925805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1.5423396503199147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1.5423396503199147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2.528639992142891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2.528639992142891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2.1286527858009032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2.1286527858009032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pFauMxcc0jn8qY5kMtbiLNtMMYz8QeIBIMh0nBQNcr7ynHq9JdcuP+c+ThfxBcVaF6mDbGVxSXkUv1WFXJqy4w==" saltValue="6a+vvdqvdi6IMPYTngsao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LgGk3kgZLGBA72IKMPgHal9CPHxk2CvMgnuPNhvJYY8cI3RRu/mWzjkMZatzhPA3O8QpxBEVWL3I6bIawZkwA==" saltValue="08BW4IbiKeHOpII9bSJh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ETDNYnRYP+urmjmMDLRk2gE6uo5hazsZbkIPzHt1pmIVccLONpx7JrtpoIMOqcAl50FNvSrGy7BcIH/VjIcovQ==" saltValue="idM4YYbdQ9hypfGeNaXa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0.604012671594509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0.604012671594509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0.8628634119583104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0.8628634119583104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0.8628634119583104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0.8628634119583104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0.40267940950593051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0.40267940950593051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0.8294097577618561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0.8294097577618561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0.8294097577618561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0.8294097577618561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0.90797828287475835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0.90797828287475835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0.89664438779025701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0.89664438779025701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0.89664438779025701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0.89664438779025701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DpHVudhaH2pNimY+K9eCnXRV5CQiaLy5v79vpOd8O4yrFOuRLfJTd4h35rNdqcZDkOQmFrUM+nDezVhLvKQ4w==" saltValue="zUxklUYwWHxpMYER8Ymq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5tslRpKuS2u3Dxs8C7l3TOVo0kFg66/p7urYbDASJYXBl+HG8NooCwVnDU43B164oqfvkXgqpsxCC7mzHnkWdw==" saltValue="A5z3mNHOXrBLdzubfvRx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0.45519104525005627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0.64622702121639708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0.64622702121639708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0.64187045942903931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0.64187045942903931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0.64187045942903931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0.64187045942903931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0.68635182364011105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0.68635182364011105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0.68635182364011105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0.68635182364011105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0.56515607818885993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0.73968427448167184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0.73968427448167184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0.73600844772967267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0.73600844772967267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0.73600844772967267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0.73600844772967267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0.77293369663941869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0.77293369663941869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0.77293369663941869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0.77293369663941869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0.27611063367155259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0.45471853314596883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0.45471853314596883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0.45001076065903062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0.45001076065903062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0.45001076065903062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0.45001076065903062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0.4997498749374687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0.4997498749374687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0.4997498749374687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0.4997498749374687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0.43121842684221717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0.62371148351983086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0.62371148351983086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0.61924102043406515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0.61924102043406515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0.61924102043406515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0.61924102043406515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0.6650664284916824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0.6650664284916824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0.6650664284916824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0.6650664284916824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0.91308664701303899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0.95827892709150442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0.95827892709150442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0.95751249840671881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0.95751249840671881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0.95751249840671881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0.95751249840671881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0.96493155809087405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0.96493155809087405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0.96493155809087405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0.96493155809087405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0.78887665564486043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0.89094019379035139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0.89094019379035139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0.88907991791913932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0.88907991791913932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0.88907991791913932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0.88907991791913932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0.90729152180966943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0.90729152180966943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0.90729152180966943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0.90729152180966943</v>
      </c>
    </row>
  </sheetData>
  <sheetProtection algorithmName="SHA-512" hashValue="y0q05smNWxrzL3nyaLbSK33pyQMNZQKf/Y7QAFWeDlWCmMnSlmYIP7sL+plZp8b9w/skRvkNi6oTpvuBPBbEJw==" saltValue="qnalMkf+RAx/4WYGle8v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0.85331405460908183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0.85552711962354488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0.85679800335501821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0.85866295152139238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0.85143997113690884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0.84965635738831624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0.85130427394001185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0.85591074699985581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0.76798264914817371</v>
      </c>
      <c r="E10" s="90">
        <f>E3*0.9</f>
        <v>0.76997440766119041</v>
      </c>
      <c r="F10" s="90">
        <f>F3*0.9</f>
        <v>0.77111820301951639</v>
      </c>
      <c r="G10" s="90">
        <f>G3*0.9</f>
        <v>0.77279665636925321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0.76629597402321792</v>
      </c>
      <c r="E12" s="90">
        <f>E5*0.9</f>
        <v>0.76469072164948459</v>
      </c>
      <c r="F12" s="90">
        <f>F5*0.9</f>
        <v>0.76617384654601073</v>
      </c>
      <c r="G12" s="90">
        <f>G5*0.9</f>
        <v>0.7703196722998702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0.89597975733953594</v>
      </c>
      <c r="E17" s="90">
        <f>E3*1.05</f>
        <v>0.89830347560472212</v>
      </c>
      <c r="F17" s="90">
        <f>F3*1.05</f>
        <v>0.89963790352276918</v>
      </c>
      <c r="G17" s="90">
        <f>G3*1.05</f>
        <v>0.90159609909746208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0.89401196969375429</v>
      </c>
      <c r="E19" s="90">
        <f>E5*1.05</f>
        <v>0.89213917525773212</v>
      </c>
      <c r="F19" s="90">
        <f>F5*1.05</f>
        <v>0.89386948763701246</v>
      </c>
      <c r="G19" s="90">
        <f>G5*1.05</f>
        <v>0.89870628434984867</v>
      </c>
    </row>
  </sheetData>
  <sheetProtection algorithmName="SHA-512" hashValue="kJqqSrXJtYA9AYsPvKuxLeuBx26rHQ2/mYhaQL+AyGs3E4RDTXRmQOyhyhiJ8qjCh6Kbeg/EShdDGAcBNVAVag==" saltValue="coAM+K+I8Unh88KF33DR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fEZlJTzPHxR2s63IPtuUpOdQaTo/MeEpcIjsaykAXX41MAsmXt7ml/284iLKttSe5YuHz541uf/azxHZdI/nWg==" saltValue="Vnzhp0PCv/e3GylmG9DV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brYLsyrLrREqk9QcqziYTCGhXoep9i3vqmuO/yv3S5Bn2jZpaXOQAnTxKiUhgmDK80deCTzjO9vTRSVVSKS1A==" saltValue="JwoX9Mx+GW8+RS3G6S6Gd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4.923517598546456E-3</v>
      </c>
    </row>
    <row r="4" spans="1:8" ht="15.75" customHeight="1" x14ac:dyDescent="0.25">
      <c r="B4" s="19" t="s">
        <v>97</v>
      </c>
      <c r="C4" s="101">
        <v>0.13264603865277511</v>
      </c>
    </row>
    <row r="5" spans="1:8" ht="15.75" customHeight="1" x14ac:dyDescent="0.25">
      <c r="B5" s="19" t="s">
        <v>95</v>
      </c>
      <c r="C5" s="101">
        <v>5.912924223676877E-2</v>
      </c>
    </row>
    <row r="6" spans="1:8" ht="15.75" customHeight="1" x14ac:dyDescent="0.25">
      <c r="B6" s="19" t="s">
        <v>91</v>
      </c>
      <c r="C6" s="101">
        <v>0.23872730575714471</v>
      </c>
    </row>
    <row r="7" spans="1:8" ht="15.75" customHeight="1" x14ac:dyDescent="0.25">
      <c r="B7" s="19" t="s">
        <v>96</v>
      </c>
      <c r="C7" s="101">
        <v>0.31029056805960381</v>
      </c>
    </row>
    <row r="8" spans="1:8" ht="15.75" customHeight="1" x14ac:dyDescent="0.25">
      <c r="B8" s="19" t="s">
        <v>98</v>
      </c>
      <c r="C8" s="101">
        <v>2.8719849386617769E-3</v>
      </c>
    </row>
    <row r="9" spans="1:8" ht="15.75" customHeight="1" x14ac:dyDescent="0.25">
      <c r="B9" s="19" t="s">
        <v>92</v>
      </c>
      <c r="C9" s="101">
        <v>0.1677799416847397</v>
      </c>
    </row>
    <row r="10" spans="1:8" ht="15.75" customHeight="1" x14ac:dyDescent="0.25">
      <c r="B10" s="19" t="s">
        <v>94</v>
      </c>
      <c r="C10" s="101">
        <v>8.3631401071759801E-2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0.1438234328535711</v>
      </c>
      <c r="D14" s="55">
        <v>0.1438234328535711</v>
      </c>
      <c r="E14" s="55">
        <v>0.1438234328535711</v>
      </c>
      <c r="F14" s="55">
        <v>0.1438234328535711</v>
      </c>
    </row>
    <row r="15" spans="1:8" ht="15.75" customHeight="1" x14ac:dyDescent="0.25">
      <c r="B15" s="19" t="s">
        <v>102</v>
      </c>
      <c r="C15" s="101">
        <v>0.25271327458594811</v>
      </c>
      <c r="D15" s="101">
        <v>0.25271327458594811</v>
      </c>
      <c r="E15" s="101">
        <v>0.25271327458594811</v>
      </c>
      <c r="F15" s="101">
        <v>0.25271327458594811</v>
      </c>
    </row>
    <row r="16" spans="1:8" ht="15.75" customHeight="1" x14ac:dyDescent="0.25">
      <c r="B16" s="19" t="s">
        <v>2</v>
      </c>
      <c r="C16" s="101">
        <v>2.189556552505955E-2</v>
      </c>
      <c r="D16" s="101">
        <v>2.189556552505955E-2</v>
      </c>
      <c r="E16" s="101">
        <v>2.189556552505955E-2</v>
      </c>
      <c r="F16" s="101">
        <v>2.189556552505955E-2</v>
      </c>
    </row>
    <row r="17" spans="1:8" ht="15.75" customHeight="1" x14ac:dyDescent="0.25">
      <c r="B17" s="19" t="s">
        <v>90</v>
      </c>
      <c r="C17" s="101">
        <v>1.319704838115883E-2</v>
      </c>
      <c r="D17" s="101">
        <v>1.319704838115883E-2</v>
      </c>
      <c r="E17" s="101">
        <v>1.319704838115883E-2</v>
      </c>
      <c r="F17" s="101">
        <v>1.319704838115883E-2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7.3073503660732203E-2</v>
      </c>
      <c r="D19" s="101">
        <v>7.3073503660732203E-2</v>
      </c>
      <c r="E19" s="101">
        <v>7.3073503660732203E-2</v>
      </c>
      <c r="F19" s="101">
        <v>7.3073503660732203E-2</v>
      </c>
    </row>
    <row r="20" spans="1:8" ht="15.75" customHeight="1" x14ac:dyDescent="0.25">
      <c r="B20" s="19" t="s">
        <v>79</v>
      </c>
      <c r="C20" s="101">
        <v>2.5992084346249389E-3</v>
      </c>
      <c r="D20" s="101">
        <v>2.5992084346249389E-3</v>
      </c>
      <c r="E20" s="101">
        <v>2.5992084346249389E-3</v>
      </c>
      <c r="F20" s="101">
        <v>2.5992084346249389E-3</v>
      </c>
    </row>
    <row r="21" spans="1:8" ht="15.75" customHeight="1" x14ac:dyDescent="0.25">
      <c r="B21" s="19" t="s">
        <v>88</v>
      </c>
      <c r="C21" s="101">
        <v>0.1623640860490782</v>
      </c>
      <c r="D21" s="101">
        <v>0.1623640860490782</v>
      </c>
      <c r="E21" s="101">
        <v>0.1623640860490782</v>
      </c>
      <c r="F21" s="101">
        <v>0.1623640860490782</v>
      </c>
    </row>
    <row r="22" spans="1:8" ht="15.75" customHeight="1" x14ac:dyDescent="0.25">
      <c r="B22" s="19" t="s">
        <v>99</v>
      </c>
      <c r="C22" s="101">
        <v>0.33033388050982698</v>
      </c>
      <c r="D22" s="101">
        <v>0.33033388050982698</v>
      </c>
      <c r="E22" s="101">
        <v>0.33033388050982698</v>
      </c>
      <c r="F22" s="101">
        <v>0.33033388050982698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4.4382244000000001E-2</v>
      </c>
    </row>
    <row r="27" spans="1:8" ht="15.75" customHeight="1" x14ac:dyDescent="0.25">
      <c r="B27" s="19" t="s">
        <v>89</v>
      </c>
      <c r="C27" s="101">
        <v>4.8625891999999997E-2</v>
      </c>
    </row>
    <row r="28" spans="1:8" ht="15.75" customHeight="1" x14ac:dyDescent="0.25">
      <c r="B28" s="19" t="s">
        <v>103</v>
      </c>
      <c r="C28" s="101">
        <v>0.16463160299999999</v>
      </c>
    </row>
    <row r="29" spans="1:8" ht="15.75" customHeight="1" x14ac:dyDescent="0.25">
      <c r="B29" s="19" t="s">
        <v>86</v>
      </c>
      <c r="C29" s="101">
        <v>0.203694557</v>
      </c>
    </row>
    <row r="30" spans="1:8" ht="15.75" customHeight="1" x14ac:dyDescent="0.25">
      <c r="B30" s="19" t="s">
        <v>4</v>
      </c>
      <c r="C30" s="101">
        <v>4.3418417000000001E-2</v>
      </c>
    </row>
    <row r="31" spans="1:8" ht="15.75" customHeight="1" x14ac:dyDescent="0.25">
      <c r="B31" s="19" t="s">
        <v>80</v>
      </c>
      <c r="C31" s="101">
        <v>9.7613213000000004E-2</v>
      </c>
    </row>
    <row r="32" spans="1:8" ht="15.75" customHeight="1" x14ac:dyDescent="0.25">
      <c r="B32" s="19" t="s">
        <v>85</v>
      </c>
      <c r="C32" s="101">
        <v>4.3273035999999987E-2</v>
      </c>
    </row>
    <row r="33" spans="2:3" ht="15.75" customHeight="1" x14ac:dyDescent="0.25">
      <c r="B33" s="19" t="s">
        <v>100</v>
      </c>
      <c r="C33" s="101">
        <v>0.24136084799999999</v>
      </c>
    </row>
    <row r="34" spans="2:3" ht="15.75" customHeight="1" x14ac:dyDescent="0.25">
      <c r="B34" s="19" t="s">
        <v>87</v>
      </c>
      <c r="C34" s="101">
        <v>0.11300019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zx89ETneabBEoSuWvwbN8EDja5M9G1rI5X6hjSUzxnMwnfeX9rGiv6cZj8eE43OM42Mvt6jMiBYl0BhBp80ckw==" saltValue="BaCrxm5K3ULQkzlHn0HtR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0.57739072741853559</v>
      </c>
      <c r="D2" s="52">
        <f>IFERROR(1-_xlfn.NORM.DIST(_xlfn.NORM.INV(SUM(D4:D5), 0, 1) + 1, 0, 1, TRUE), "")</f>
        <v>0.57739072741853559</v>
      </c>
      <c r="E2" s="52">
        <f>IFERROR(1-_xlfn.NORM.DIST(_xlfn.NORM.INV(SUM(E4:E5), 0, 1) + 1, 0, 1, TRUE), "")</f>
        <v>0.52845109881480812</v>
      </c>
      <c r="F2" s="52">
        <f>IFERROR(1-_xlfn.NORM.DIST(_xlfn.NORM.INV(SUM(F4:F5), 0, 1) + 1, 0, 1, TRUE), "")</f>
        <v>0.34155494177310863</v>
      </c>
      <c r="G2" s="52">
        <f>IFERROR(1-_xlfn.NORM.DIST(_xlfn.NORM.INV(SUM(G4:G5), 0, 1) + 1, 0, 1, TRUE), "")</f>
        <v>0.21840338199661558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0.30660927258146442</v>
      </c>
      <c r="D3" s="52">
        <f>IFERROR(_xlfn.NORM.DIST(_xlfn.NORM.INV(SUM(D4:D5), 0, 1) + 1, 0, 1, TRUE) - SUM(D4:D5), "")</f>
        <v>0.30660927258146442</v>
      </c>
      <c r="E3" s="52">
        <f>IFERROR(_xlfn.NORM.DIST(_xlfn.NORM.INV(SUM(E4:E5), 0, 1) + 1, 0, 1, TRUE) - SUM(E4:E5), "")</f>
        <v>0.32954890118519187</v>
      </c>
      <c r="F3" s="52">
        <f>IFERROR(_xlfn.NORM.DIST(_xlfn.NORM.INV(SUM(F4:F5), 0, 1) + 1, 0, 1, TRUE) - SUM(F4:F5), "")</f>
        <v>0.38144505822689134</v>
      </c>
      <c r="G3" s="52">
        <f>IFERROR(_xlfn.NORM.DIST(_xlfn.NORM.INV(SUM(G4:G5), 0, 1) + 1, 0, 1, TRUE) - SUM(G4:G5), "")</f>
        <v>0.36959661800338439</v>
      </c>
    </row>
    <row r="4" spans="1:15" ht="15.75" customHeight="1" x14ac:dyDescent="0.25">
      <c r="B4" s="5" t="s">
        <v>110</v>
      </c>
      <c r="C4" s="45">
        <v>8.1000000000000003E-2</v>
      </c>
      <c r="D4" s="53">
        <v>8.1000000000000003E-2</v>
      </c>
      <c r="E4" s="53">
        <v>0.111</v>
      </c>
      <c r="F4" s="53">
        <v>0.188</v>
      </c>
      <c r="G4" s="53">
        <v>0.27600000000000002</v>
      </c>
    </row>
    <row r="5" spans="1:15" ht="15.75" customHeight="1" x14ac:dyDescent="0.25">
      <c r="B5" s="5" t="s">
        <v>106</v>
      </c>
      <c r="C5" s="45">
        <v>3.5000000000000003E-2</v>
      </c>
      <c r="D5" s="53">
        <v>3.5000000000000003E-2</v>
      </c>
      <c r="E5" s="53">
        <v>3.1E-2</v>
      </c>
      <c r="F5" s="53">
        <v>8.900000000000001E-2</v>
      </c>
      <c r="G5" s="53">
        <v>0.13600000000000001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0.56945499406847766</v>
      </c>
      <c r="D8" s="52">
        <f>IFERROR(1-_xlfn.NORM.DIST(_xlfn.NORM.INV(SUM(D10:D11), 0, 1) + 1, 0, 1, TRUE), "")</f>
        <v>0.56945499406847766</v>
      </c>
      <c r="E8" s="52">
        <f>IFERROR(1-_xlfn.NORM.DIST(_xlfn.NORM.INV(SUM(E10:E11), 0, 1) + 1, 0, 1, TRUE), "")</f>
        <v>0.57739072741853559</v>
      </c>
      <c r="F8" s="52">
        <f>IFERROR(1-_xlfn.NORM.DIST(_xlfn.NORM.INV(SUM(F10:F11), 0, 1) + 1, 0, 1, TRUE), "")</f>
        <v>0.6241955901533508</v>
      </c>
      <c r="G8" s="52">
        <f>IFERROR(1-_xlfn.NORM.DIST(_xlfn.NORM.INV(SUM(G10:G11), 0, 1) + 1, 0, 1, TRUE), "")</f>
        <v>0.75991942487966924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0.3105450059315224</v>
      </c>
      <c r="D9" s="52">
        <f>IFERROR(_xlfn.NORM.DIST(_xlfn.NORM.INV(SUM(D10:D11), 0, 1) + 1, 0, 1, TRUE) - SUM(D10:D11), "")</f>
        <v>0.3105450059315224</v>
      </c>
      <c r="E9" s="52">
        <f>IFERROR(_xlfn.NORM.DIST(_xlfn.NORM.INV(SUM(E10:E11), 0, 1) + 1, 0, 1, TRUE) - SUM(E10:E11), "")</f>
        <v>0.30660927258146442</v>
      </c>
      <c r="F9" s="52">
        <f>IFERROR(_xlfn.NORM.DIST(_xlfn.NORM.INV(SUM(F10:F11), 0, 1) + 1, 0, 1, TRUE) - SUM(F10:F11), "")</f>
        <v>0.28180440984664923</v>
      </c>
      <c r="G9" s="52">
        <f>IFERROR(_xlfn.NORM.DIST(_xlfn.NORM.INV(SUM(G10:G11), 0, 1) + 1, 0, 1, TRUE) - SUM(G10:G11), "")</f>
        <v>0.19608057512033072</v>
      </c>
    </row>
    <row r="10" spans="1:15" ht="15.75" customHeight="1" x14ac:dyDescent="0.25">
      <c r="B10" s="5" t="s">
        <v>107</v>
      </c>
      <c r="C10" s="45">
        <v>6.7000000000000004E-2</v>
      </c>
      <c r="D10" s="53">
        <v>6.7000000000000004E-2</v>
      </c>
      <c r="E10" s="53">
        <v>0.08</v>
      </c>
      <c r="F10" s="53">
        <v>6.8000000000000005E-2</v>
      </c>
      <c r="G10" s="53">
        <v>3.3000000000000002E-2</v>
      </c>
    </row>
    <row r="11" spans="1:15" ht="15.75" customHeight="1" x14ac:dyDescent="0.25">
      <c r="B11" s="5" t="s">
        <v>119</v>
      </c>
      <c r="C11" s="45">
        <v>5.2999999999999999E-2</v>
      </c>
      <c r="D11" s="53">
        <v>5.2999999999999999E-2</v>
      </c>
      <c r="E11" s="53">
        <v>3.5999999999999997E-2</v>
      </c>
      <c r="F11" s="53">
        <v>2.5999999999999999E-2</v>
      </c>
      <c r="G11" s="53">
        <v>1.0999999999999999E-2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0.69556121950000005</v>
      </c>
      <c r="D14" s="54">
        <v>0.675081075162</v>
      </c>
      <c r="E14" s="54">
        <v>0.675081075162</v>
      </c>
      <c r="F14" s="54">
        <v>0.28962774625999999</v>
      </c>
      <c r="G14" s="54">
        <v>0.28962774625999999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0.14899999999999999</v>
      </c>
      <c r="M14" s="55">
        <v>0.14899999999999999</v>
      </c>
      <c r="N14" s="55">
        <v>0.14899999999999999</v>
      </c>
      <c r="O14" s="55">
        <v>0.14899999999999999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0.36787050445281855</v>
      </c>
      <c r="D15" s="52">
        <f t="shared" si="0"/>
        <v>0.35703890427490403</v>
      </c>
      <c r="E15" s="52">
        <f t="shared" si="0"/>
        <v>0.35703890427490403</v>
      </c>
      <c r="F15" s="52">
        <f t="shared" si="0"/>
        <v>0.15317919132522756</v>
      </c>
      <c r="G15" s="52">
        <f t="shared" si="0"/>
        <v>0.15317919132522756</v>
      </c>
      <c r="H15" s="52">
        <f t="shared" si="0"/>
        <v>0.16025154899999999</v>
      </c>
      <c r="I15" s="52">
        <f t="shared" si="0"/>
        <v>0.16025154899999999</v>
      </c>
      <c r="J15" s="52">
        <f t="shared" si="0"/>
        <v>0.16025154899999999</v>
      </c>
      <c r="K15" s="52">
        <f t="shared" si="0"/>
        <v>0.16025154899999999</v>
      </c>
      <c r="L15" s="52">
        <f t="shared" si="0"/>
        <v>7.8803566999999991E-2</v>
      </c>
      <c r="M15" s="52">
        <f t="shared" si="0"/>
        <v>7.8803566999999991E-2</v>
      </c>
      <c r="N15" s="52">
        <f t="shared" si="0"/>
        <v>7.8803566999999991E-2</v>
      </c>
      <c r="O15" s="52">
        <f t="shared" si="0"/>
        <v>7.8803566999999991E-2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GBY3OvhjXkhfd5kdUJsgnUB3VTYOPBZc2dFMD9990car2d5k2ArBKaLlCTVq/pqcFFNgt642P+lzcY5kgxlvPg==" saltValue="9mHzY36a6RXcqVbw4tJi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0.49628427624702398</v>
      </c>
      <c r="D2" s="53">
        <v>0.31777070000000002</v>
      </c>
      <c r="E2" s="53"/>
      <c r="F2" s="53"/>
      <c r="G2" s="53"/>
    </row>
    <row r="3" spans="1:7" x14ac:dyDescent="0.25">
      <c r="B3" s="3" t="s">
        <v>127</v>
      </c>
      <c r="C3" s="53">
        <v>0.17591752111911799</v>
      </c>
      <c r="D3" s="53">
        <v>0.19311990000000001</v>
      </c>
      <c r="E3" s="53"/>
      <c r="F3" s="53"/>
      <c r="G3" s="53"/>
    </row>
    <row r="4" spans="1:7" x14ac:dyDescent="0.25">
      <c r="B4" s="3" t="s">
        <v>126</v>
      </c>
      <c r="C4" s="53">
        <v>0.24337454140186299</v>
      </c>
      <c r="D4" s="53">
        <v>0.31273339999999999</v>
      </c>
      <c r="E4" s="53">
        <v>0.73519980907440197</v>
      </c>
      <c r="F4" s="53">
        <v>0.595922291278839</v>
      </c>
      <c r="G4" s="53"/>
    </row>
    <row r="5" spans="1:7" x14ac:dyDescent="0.25">
      <c r="B5" s="3" t="s">
        <v>125</v>
      </c>
      <c r="C5" s="52">
        <v>8.4423676133155809E-2</v>
      </c>
      <c r="D5" s="52">
        <v>0.17637592554092399</v>
      </c>
      <c r="E5" s="52">
        <f>1-SUM(E2:E4)</f>
        <v>0.26480019092559803</v>
      </c>
      <c r="F5" s="52">
        <f>1-SUM(F2:F4)</f>
        <v>0.404077708721161</v>
      </c>
      <c r="G5" s="52">
        <f>1-SUM(G2:G4)</f>
        <v>1</v>
      </c>
    </row>
  </sheetData>
  <sheetProtection algorithmName="SHA-512" hashValue="GPYXlR2Frb0EVtGBRhcq+0X/2ahohTKF/8lxKS8w0r8t6aTeNgF1H8UWwm9M0wzmDV8R/rD7FsR8uk4obOlPWg==" saltValue="R0q8jKNrLa8aZJeoAcjUs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eGf/QXGw2stgLlY+Ij2KNEgeNLt1Y9Vb/T7SpbINP5ssHEzCNoXzqXlvNeZu086RAVVXUUsxQC/xZ8KhdwRJw==" saltValue="CTdDne/PBWId7xu/bsVtF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9whkM8qzI5JHJRUF6Rqakzk8pMFBkt9qiI5aUbi9yGNeYm7zgan8Q1LCmLzDNojDYsulu0zRdh8ZLbqMPZJ0Ow==" saltValue="17843o1ny2G05hN7vPZl7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ncraLv+bj0SUJtacyLvSsNWddhjuXECrHM8yK1pL8RotEdzsIvaKAmupXcOQoGL0cgF1E6+/gqi5VfovMtbCKg==" saltValue="hCQKjlUiyicxTT2MbD0C+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4k+YNDHUsxbGzcLEdmfjc7DuqLq7SMVnFJi0L5Hq/dGIOH+cSZAWSaKhNTvPc++/pEjjBMB6VNxLQQ0KNkCeg==" saltValue="UHbaOl9s3ODpBCT5SvvkU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2024-03-15T02:27:46Z</dcterms:modified>
</cp:coreProperties>
</file>