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es\LiST countries\"/>
    </mc:Choice>
  </mc:AlternateContent>
  <xr:revisionPtr revIDLastSave="0" documentId="8_{FAA44392-4732-4A0A-9FEC-DDAD177B1749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F19" i="26"/>
  <c r="C19" i="26"/>
  <c r="G17" i="26"/>
  <c r="C17" i="26"/>
  <c r="E12" i="26"/>
  <c r="D12" i="26"/>
  <c r="C12" i="26"/>
  <c r="C10" i="26"/>
  <c r="G5" i="26"/>
  <c r="G19" i="26" s="1"/>
  <c r="F5" i="26"/>
  <c r="F12" i="26" s="1"/>
  <c r="E5" i="26"/>
  <c r="E19" i="26" s="1"/>
  <c r="D5" i="26"/>
  <c r="D19" i="26" s="1"/>
  <c r="G3" i="26"/>
  <c r="G10" i="26" s="1"/>
  <c r="F3" i="26"/>
  <c r="F17" i="26" s="1"/>
  <c r="E3" i="26"/>
  <c r="E17" i="26" s="1"/>
  <c r="D3" i="26"/>
  <c r="D17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I39" i="2" s="1"/>
  <c r="G39" i="2"/>
  <c r="H38" i="2"/>
  <c r="G38" i="2"/>
  <c r="I38" i="2" s="1"/>
  <c r="A38" i="2"/>
  <c r="A32" i="2"/>
  <c r="A26" i="2"/>
  <c r="A19" i="2"/>
  <c r="A13" i="2"/>
  <c r="H11" i="2"/>
  <c r="I11" i="2" s="1"/>
  <c r="G11" i="2"/>
  <c r="H10" i="2"/>
  <c r="G10" i="2"/>
  <c r="H9" i="2"/>
  <c r="I9" i="2" s="1"/>
  <c r="G9" i="2"/>
  <c r="H8" i="2"/>
  <c r="G8" i="2"/>
  <c r="I8" i="2" s="1"/>
  <c r="H7" i="2"/>
  <c r="I7" i="2" s="1"/>
  <c r="G7" i="2"/>
  <c r="H6" i="2"/>
  <c r="G6" i="2"/>
  <c r="I6" i="2" s="1"/>
  <c r="I5" i="2"/>
  <c r="H5" i="2"/>
  <c r="G5" i="2"/>
  <c r="H4" i="2"/>
  <c r="G4" i="2"/>
  <c r="I4" i="2" s="1"/>
  <c r="H3" i="2"/>
  <c r="I3" i="2" s="1"/>
  <c r="G3" i="2"/>
  <c r="A3" i="2"/>
  <c r="H2" i="2"/>
  <c r="G2" i="2"/>
  <c r="I2" i="2" s="1"/>
  <c r="A2" i="2"/>
  <c r="A36" i="2" s="1"/>
  <c r="C33" i="1"/>
  <c r="C20" i="1"/>
  <c r="A21" i="2" l="1"/>
  <c r="A34" i="2"/>
  <c r="A22" i="2"/>
  <c r="A35" i="2"/>
  <c r="E10" i="26"/>
  <c r="A24" i="2"/>
  <c r="A37" i="2"/>
  <c r="A40" i="2"/>
  <c r="A14" i="2"/>
  <c r="A27" i="2"/>
  <c r="A16" i="2"/>
  <c r="A29" i="2"/>
  <c r="I10" i="2"/>
  <c r="A18" i="2"/>
  <c r="A30" i="2"/>
  <c r="A39" i="2"/>
  <c r="D10" i="26"/>
  <c r="G12" i="26"/>
  <c r="A15" i="2"/>
  <c r="A23" i="2"/>
  <c r="A31" i="2"/>
  <c r="F10" i="26"/>
  <c r="A17" i="2"/>
  <c r="A25" i="2"/>
  <c r="A33" i="2"/>
  <c r="A4" i="2"/>
  <c r="A5" i="2" s="1"/>
  <c r="A6" i="2" s="1"/>
  <c r="A7" i="2" s="1"/>
  <c r="A8" i="2" s="1"/>
  <c r="A9" i="2" s="1"/>
  <c r="A10" i="2" s="1"/>
  <c r="A11" i="2" s="1"/>
  <c r="A12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<sst xmlns="http://schemas.openxmlformats.org/spreadsheetml/2006/main" count="2092" uniqueCount="341">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</sst>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19</v>
      </c>
      <c r="B1" s="29" t="s">
        <v>0</v>
      </c>
      <c r="C1" s="29" t="s">
        <v>24</v>
      </c>
    </row>
    <row r="2" spans="1:3" ht="15.9" customHeight="1" x14ac:dyDescent="0.3">
      <c r="A2" s="8" t="s">
        <v>55</v>
      </c>
      <c r="B2" s="29"/>
      <c r="C2" s="29"/>
    </row>
    <row r="3" spans="1:3" ht="15.9" customHeight="1" x14ac:dyDescent="0.3">
      <c r="A3" s="1"/>
      <c r="B3" s="5" t="s">
        <v>18</v>
      </c>
      <c r="C3" s="41">
        <v>2021</v>
      </c>
    </row>
    <row r="4" spans="1:3" ht="15.9" customHeight="1" x14ac:dyDescent="0.3">
      <c r="A4" s="1"/>
      <c r="B4" s="5" t="s">
        <v>26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50</v>
      </c>
    </row>
    <row r="7" spans="1:3" ht="15" customHeight="1" x14ac:dyDescent="0.25">
      <c r="B7" s="11" t="s">
        <v>23</v>
      </c>
      <c r="C7" s="43">
        <v>679664.203125</v>
      </c>
    </row>
    <row r="8" spans="1:3" ht="15" customHeight="1" x14ac:dyDescent="0.25">
      <c r="B8" s="5" t="s">
        <v>44</v>
      </c>
      <c r="C8" s="44">
        <v>1.6E-2</v>
      </c>
    </row>
    <row r="9" spans="1:3" ht="15" customHeight="1" x14ac:dyDescent="0.25">
      <c r="B9" s="5" t="s">
        <v>43</v>
      </c>
      <c r="C9" s="45">
        <v>0.01</v>
      </c>
    </row>
    <row r="10" spans="1:3" ht="15" customHeight="1" x14ac:dyDescent="0.25">
      <c r="B10" s="5" t="s">
        <v>56</v>
      </c>
      <c r="C10" s="45">
        <v>0.66318046569824207</v>
      </c>
    </row>
    <row r="11" spans="1:3" ht="15" customHeight="1" x14ac:dyDescent="0.25">
      <c r="B11" s="5" t="s">
        <v>49</v>
      </c>
      <c r="C11" s="45">
        <v>0.77400000000000002</v>
      </c>
    </row>
    <row r="12" spans="1:3" ht="15" customHeight="1" x14ac:dyDescent="0.25">
      <c r="B12" s="5" t="s">
        <v>41</v>
      </c>
      <c r="C12" s="45">
        <v>0.89400000000000002</v>
      </c>
    </row>
    <row r="13" spans="1:3" ht="15" customHeight="1" x14ac:dyDescent="0.25">
      <c r="B13" s="5" t="s">
        <v>62</v>
      </c>
      <c r="C13" s="45">
        <v>0.17399999999999999</v>
      </c>
    </row>
    <row r="14" spans="1:3" ht="15" customHeight="1" x14ac:dyDescent="0.25">
      <c r="B14" s="8"/>
    </row>
    <row r="15" spans="1:3" ht="15" customHeight="1" x14ac:dyDescent="0.3">
      <c r="A15" s="8" t="s">
        <v>28</v>
      </c>
      <c r="B15" s="14"/>
      <c r="C15" s="3"/>
    </row>
    <row r="16" spans="1:3" ht="15" customHeight="1" x14ac:dyDescent="0.25">
      <c r="B16" s="5" t="s">
        <v>33</v>
      </c>
      <c r="C16" s="45">
        <v>0.1</v>
      </c>
    </row>
    <row r="17" spans="1:3" ht="15" customHeight="1" x14ac:dyDescent="0.25">
      <c r="B17" s="5" t="s">
        <v>30</v>
      </c>
      <c r="C17" s="45">
        <v>0.7</v>
      </c>
    </row>
    <row r="18" spans="1:3" ht="15" customHeight="1" x14ac:dyDescent="0.25">
      <c r="B18" s="5" t="s">
        <v>31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34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12</v>
      </c>
    </row>
    <row r="23" spans="1:3" ht="15" customHeight="1" x14ac:dyDescent="0.25">
      <c r="B23" s="15" t="s">
        <v>45</v>
      </c>
      <c r="C23" s="45">
        <v>0.1144</v>
      </c>
    </row>
    <row r="24" spans="1:3" ht="15" customHeight="1" x14ac:dyDescent="0.25">
      <c r="B24" s="15" t="s">
        <v>46</v>
      </c>
      <c r="C24" s="45">
        <v>0.50659999999999994</v>
      </c>
    </row>
    <row r="25" spans="1:3" ht="15" customHeight="1" x14ac:dyDescent="0.25">
      <c r="B25" s="15" t="s">
        <v>47</v>
      </c>
      <c r="C25" s="45">
        <v>0.32169999999999999</v>
      </c>
    </row>
    <row r="26" spans="1:3" ht="15" customHeight="1" x14ac:dyDescent="0.25">
      <c r="B26" s="15" t="s">
        <v>48</v>
      </c>
      <c r="C26" s="45">
        <v>5.7299999999999997E-2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22</v>
      </c>
      <c r="B28" s="15"/>
      <c r="C28" s="15"/>
    </row>
    <row r="29" spans="1:3" ht="14.25" customHeight="1" x14ac:dyDescent="0.25">
      <c r="B29" s="25" t="s">
        <v>27</v>
      </c>
      <c r="C29" s="45">
        <v>0.2471342175</v>
      </c>
    </row>
    <row r="30" spans="1:3" ht="14.25" customHeight="1" x14ac:dyDescent="0.25">
      <c r="B30" s="25" t="s">
        <v>63</v>
      </c>
      <c r="C30" s="99">
        <v>0.12625974440000001</v>
      </c>
    </row>
    <row r="31" spans="1:3" ht="14.25" customHeight="1" x14ac:dyDescent="0.25">
      <c r="B31" s="25" t="s">
        <v>10</v>
      </c>
      <c r="C31" s="99">
        <v>0.1575646691</v>
      </c>
    </row>
    <row r="32" spans="1:3" ht="14.25" customHeight="1" x14ac:dyDescent="0.25">
      <c r="B32" s="25" t="s">
        <v>11</v>
      </c>
      <c r="C32" s="99">
        <v>0.46904136899999999</v>
      </c>
    </row>
    <row r="33" spans="1:5" ht="13" customHeight="1" x14ac:dyDescent="0.25">
      <c r="B33" s="27" t="s">
        <v>60</v>
      </c>
      <c r="C33" s="48">
        <f>SUM(C29:C32)</f>
        <v>1</v>
      </c>
    </row>
    <row r="34" spans="1:5" ht="15" customHeight="1" x14ac:dyDescent="0.25"/>
    <row r="35" spans="1:5" ht="15" customHeight="1" x14ac:dyDescent="0.3">
      <c r="A35" s="4" t="s">
        <v>20</v>
      </c>
    </row>
    <row r="36" spans="1:5" ht="15" customHeight="1" x14ac:dyDescent="0.25">
      <c r="A36" s="8" t="s">
        <v>37</v>
      </c>
      <c r="B36" s="5"/>
    </row>
    <row r="37" spans="1:5" ht="15" customHeight="1" x14ac:dyDescent="0.25">
      <c r="B37" s="11" t="s">
        <v>38</v>
      </c>
      <c r="C37" s="43">
        <v>10.855233383654999</v>
      </c>
    </row>
    <row r="38" spans="1:5" ht="15" customHeight="1" x14ac:dyDescent="0.25">
      <c r="B38" s="11" t="s">
        <v>35</v>
      </c>
      <c r="C38" s="43">
        <v>16.633302094890301</v>
      </c>
      <c r="D38" s="12"/>
      <c r="E38" s="13"/>
    </row>
    <row r="39" spans="1:5" ht="15" customHeight="1" x14ac:dyDescent="0.25">
      <c r="B39" s="11" t="s">
        <v>61</v>
      </c>
      <c r="C39" s="43">
        <v>19.440405974279098</v>
      </c>
      <c r="D39" s="12"/>
      <c r="E39" s="12"/>
    </row>
    <row r="40" spans="1:5" ht="15" customHeight="1" x14ac:dyDescent="0.25">
      <c r="B40" s="11" t="s">
        <v>36</v>
      </c>
      <c r="C40" s="100">
        <v>1.29</v>
      </c>
    </row>
    <row r="41" spans="1:5" ht="15" customHeight="1" x14ac:dyDescent="0.25">
      <c r="B41" s="11" t="s">
        <v>32</v>
      </c>
      <c r="C41" s="45">
        <v>0.12</v>
      </c>
    </row>
    <row r="42" spans="1:5" ht="15" customHeight="1" x14ac:dyDescent="0.25">
      <c r="B42" s="11" t="s">
        <v>57</v>
      </c>
      <c r="C42" s="43">
        <v>10.536070929999999</v>
      </c>
    </row>
    <row r="43" spans="1:5" ht="15.75" customHeight="1" x14ac:dyDescent="0.25">
      <c r="D43" s="12"/>
    </row>
    <row r="44" spans="1:5" ht="15.75" customHeight="1" x14ac:dyDescent="0.25">
      <c r="A44" s="8" t="s">
        <v>21</v>
      </c>
      <c r="D44" s="12"/>
    </row>
    <row r="45" spans="1:5" ht="15.75" customHeight="1" x14ac:dyDescent="0.25">
      <c r="B45" s="11" t="s">
        <v>52</v>
      </c>
      <c r="C45" s="45">
        <v>7.0630000000000007E-3</v>
      </c>
      <c r="D45" s="12"/>
    </row>
    <row r="46" spans="1:5" ht="15.75" customHeight="1" x14ac:dyDescent="0.25">
      <c r="B46" s="11" t="s">
        <v>51</v>
      </c>
      <c r="C46" s="45">
        <v>7.0952500000000002E-2</v>
      </c>
      <c r="D46" s="12"/>
    </row>
    <row r="47" spans="1:5" ht="15.75" customHeight="1" x14ac:dyDescent="0.25">
      <c r="B47" s="11" t="s">
        <v>59</v>
      </c>
      <c r="C47" s="45">
        <v>5.8433499999999999E-2</v>
      </c>
      <c r="D47" s="12"/>
      <c r="E47" s="13"/>
    </row>
    <row r="48" spans="1:5" ht="15" customHeight="1" x14ac:dyDescent="0.25">
      <c r="B48" s="11" t="s">
        <v>58</v>
      </c>
      <c r="C48" s="46">
        <v>0.86355099999999996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25</v>
      </c>
      <c r="D50" s="12"/>
    </row>
    <row r="51" spans="1:4" ht="15.75" customHeight="1" x14ac:dyDescent="0.25">
      <c r="B51" s="11" t="s">
        <v>17</v>
      </c>
      <c r="C51" s="100">
        <v>3.2</v>
      </c>
      <c r="D51" s="12"/>
    </row>
    <row r="52" spans="1:4" ht="15" customHeight="1" x14ac:dyDescent="0.25">
      <c r="B52" s="11" t="s">
        <v>13</v>
      </c>
      <c r="C52" s="100">
        <v>3.2</v>
      </c>
    </row>
    <row r="53" spans="1:4" ht="15.75" customHeight="1" x14ac:dyDescent="0.25">
      <c r="B53" s="11" t="s">
        <v>16</v>
      </c>
      <c r="C53" s="100">
        <v>3.2</v>
      </c>
    </row>
    <row r="54" spans="1:4" ht="15.75" customHeight="1" x14ac:dyDescent="0.25">
      <c r="B54" s="11" t="s">
        <v>14</v>
      </c>
      <c r="C54" s="100">
        <v>3.2</v>
      </c>
    </row>
    <row r="55" spans="1:4" ht="15.75" customHeight="1" x14ac:dyDescent="0.25">
      <c r="B55" s="11" t="s">
        <v>15</v>
      </c>
      <c r="C55" s="100">
        <v>3.2</v>
      </c>
    </row>
    <row r="57" spans="1:4" ht="15.75" customHeight="1" x14ac:dyDescent="0.25">
      <c r="A57" s="8" t="s">
        <v>39</v>
      </c>
    </row>
    <row r="58" spans="1:4" ht="15.75" customHeight="1" x14ac:dyDescent="0.25">
      <c r="B58" s="5" t="s">
        <v>42</v>
      </c>
      <c r="C58" s="45">
        <v>1.9375E-2</v>
      </c>
    </row>
    <row r="59" spans="1:4" ht="15.75" customHeight="1" x14ac:dyDescent="0.25">
      <c r="B59" s="11" t="s">
        <v>40</v>
      </c>
      <c r="C59" s="45">
        <v>0.56980299999999995</v>
      </c>
    </row>
    <row r="60" spans="1:4" ht="15.75" customHeight="1" x14ac:dyDescent="0.25">
      <c r="B60" s="11" t="s">
        <v>54</v>
      </c>
      <c r="C60" s="45">
        <v>4.5999999999999999E-2</v>
      </c>
    </row>
    <row r="61" spans="1:4" ht="15.75" customHeight="1" x14ac:dyDescent="0.25">
      <c r="B61" s="11" t="s">
        <v>53</v>
      </c>
      <c r="C61" s="45">
        <v>1.4E-2</v>
      </c>
    </row>
    <row r="62" spans="1:4" ht="15.75" customHeight="1" x14ac:dyDescent="0.25">
      <c r="B62" s="11" t="s">
        <v>64</v>
      </c>
      <c r="C62" s="44">
        <v>8.0900145000000007E-2</v>
      </c>
    </row>
    <row r="63" spans="1:4" ht="15.75" customHeight="1" x14ac:dyDescent="0.3">
      <c r="A63" s="4"/>
    </row>
  </sheetData>
  <sheetProtection algorithmName="SHA-512" hashValue="k+shxIEF9WN3Wv2j6zO3Rc6avGhGRDM31Du5MyDYwOYHW3Q9x9WX1wyDh76pgW/yEWKek40Nqn0zQV3GBwHrow==" saltValue="2iCirdJ3LV1HXpPtnBD4s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5">
      <c r="A2" s="5">
        <f>start_year</f>
        <v>2021</v>
      </c>
      <c r="B2" s="49">
        <v>141296.87</v>
      </c>
      <c r="C2" s="49">
        <v>317000</v>
      </c>
      <c r="D2" s="49">
        <v>643000</v>
      </c>
      <c r="E2" s="49">
        <v>2551000</v>
      </c>
      <c r="F2" s="49">
        <v>2127000</v>
      </c>
      <c r="G2" s="17">
        <f t="shared" ref="G2:G11" si="0">C2+D2+E2+F2</f>
        <v>5638000</v>
      </c>
      <c r="H2" s="17">
        <f t="shared" ref="H2:H11" si="1">(B2 + stillbirth*B2/(1000-stillbirth))/(1-abortion)</f>
        <v>162274.35915821118</v>
      </c>
      <c r="I2" s="17">
        <f t="shared" ref="I2:I11" si="2">G2-H2</f>
        <v>5475725.6408417886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140825.8432</v>
      </c>
      <c r="C3" s="50">
        <v>318000</v>
      </c>
      <c r="D3" s="50">
        <v>642000</v>
      </c>
      <c r="E3" s="50">
        <v>2585000</v>
      </c>
      <c r="F3" s="50">
        <v>2164000</v>
      </c>
      <c r="G3" s="17">
        <f t="shared" si="0"/>
        <v>5709000</v>
      </c>
      <c r="H3" s="17">
        <f t="shared" si="1"/>
        <v>161733.40186654337</v>
      </c>
      <c r="I3" s="17">
        <f t="shared" si="2"/>
        <v>5547266.5981334569</v>
      </c>
    </row>
    <row r="4" spans="1:9" ht="15.75" customHeight="1" x14ac:dyDescent="0.25">
      <c r="A4" s="5">
        <f t="shared" si="3"/>
        <v>2023</v>
      </c>
      <c r="B4" s="49">
        <v>140307.38759999999</v>
      </c>
      <c r="C4" s="50">
        <v>320000</v>
      </c>
      <c r="D4" s="50">
        <v>640000</v>
      </c>
      <c r="E4" s="50">
        <v>2614000</v>
      </c>
      <c r="F4" s="50">
        <v>2201000</v>
      </c>
      <c r="G4" s="17">
        <f t="shared" si="0"/>
        <v>5775000</v>
      </c>
      <c r="H4" s="17">
        <f t="shared" si="1"/>
        <v>161137.97430865062</v>
      </c>
      <c r="I4" s="17">
        <f t="shared" si="2"/>
        <v>5613862.0256913491</v>
      </c>
    </row>
    <row r="5" spans="1:9" ht="15.75" customHeight="1" x14ac:dyDescent="0.25">
      <c r="A5" s="5">
        <f t="shared" si="3"/>
        <v>2024</v>
      </c>
      <c r="B5" s="49">
        <v>139703.71479999999</v>
      </c>
      <c r="C5" s="50">
        <v>322000</v>
      </c>
      <c r="D5" s="50">
        <v>638000</v>
      </c>
      <c r="E5" s="50">
        <v>2637000</v>
      </c>
      <c r="F5" s="50">
        <v>2239000</v>
      </c>
      <c r="G5" s="17">
        <f t="shared" si="0"/>
        <v>5836000</v>
      </c>
      <c r="H5" s="17">
        <f t="shared" si="1"/>
        <v>160444.67787001585</v>
      </c>
      <c r="I5" s="17">
        <f t="shared" si="2"/>
        <v>5675555.3221299844</v>
      </c>
    </row>
    <row r="6" spans="1:9" ht="15.75" customHeight="1" x14ac:dyDescent="0.25">
      <c r="A6" s="5">
        <f t="shared" si="3"/>
        <v>2025</v>
      </c>
      <c r="B6" s="49">
        <v>139035.16500000001</v>
      </c>
      <c r="C6" s="50">
        <v>323000</v>
      </c>
      <c r="D6" s="50">
        <v>636000</v>
      </c>
      <c r="E6" s="50">
        <v>2652000</v>
      </c>
      <c r="F6" s="50">
        <v>2276000</v>
      </c>
      <c r="G6" s="17">
        <f t="shared" si="0"/>
        <v>5887000</v>
      </c>
      <c r="H6" s="17">
        <f t="shared" si="1"/>
        <v>159676.87253674591</v>
      </c>
      <c r="I6" s="17">
        <f t="shared" si="2"/>
        <v>5727323.1274632541</v>
      </c>
    </row>
    <row r="7" spans="1:9" ht="15.75" customHeight="1" x14ac:dyDescent="0.25">
      <c r="A7" s="5">
        <f t="shared" si="3"/>
        <v>2026</v>
      </c>
      <c r="B7" s="49">
        <v>138270.8916</v>
      </c>
      <c r="C7" s="50">
        <v>323000</v>
      </c>
      <c r="D7" s="50">
        <v>633000</v>
      </c>
      <c r="E7" s="50">
        <v>2661000</v>
      </c>
      <c r="F7" s="50">
        <v>2314000</v>
      </c>
      <c r="G7" s="17">
        <f t="shared" si="0"/>
        <v>5931000</v>
      </c>
      <c r="H7" s="17">
        <f t="shared" si="1"/>
        <v>158799.13210125951</v>
      </c>
      <c r="I7" s="17">
        <f t="shared" si="2"/>
        <v>5772200.8678987408</v>
      </c>
    </row>
    <row r="8" spans="1:9" ht="15.75" customHeight="1" x14ac:dyDescent="0.25">
      <c r="A8" s="5">
        <f t="shared" si="3"/>
        <v>2027</v>
      </c>
      <c r="B8" s="49">
        <v>137406.79319999999</v>
      </c>
      <c r="C8" s="50">
        <v>323000</v>
      </c>
      <c r="D8" s="50">
        <v>630000</v>
      </c>
      <c r="E8" s="50">
        <v>2662000</v>
      </c>
      <c r="F8" s="50">
        <v>2352000</v>
      </c>
      <c r="G8" s="17">
        <f t="shared" si="0"/>
        <v>5967000</v>
      </c>
      <c r="H8" s="17">
        <f t="shared" si="1"/>
        <v>157806.74625357837</v>
      </c>
      <c r="I8" s="17">
        <f t="shared" si="2"/>
        <v>5809193.253746422</v>
      </c>
    </row>
    <row r="9" spans="1:9" ht="15.75" customHeight="1" x14ac:dyDescent="0.25">
      <c r="A9" s="5">
        <f t="shared" si="3"/>
        <v>2028</v>
      </c>
      <c r="B9" s="49">
        <v>136498.68479999999</v>
      </c>
      <c r="C9" s="50">
        <v>322000</v>
      </c>
      <c r="D9" s="50">
        <v>628000</v>
      </c>
      <c r="E9" s="50">
        <v>2656000</v>
      </c>
      <c r="F9" s="50">
        <v>2389000</v>
      </c>
      <c r="G9" s="17">
        <f t="shared" si="0"/>
        <v>5995000</v>
      </c>
      <c r="H9" s="17">
        <f t="shared" si="1"/>
        <v>156763.81650816937</v>
      </c>
      <c r="I9" s="17">
        <f t="shared" si="2"/>
        <v>5838236.1834918307</v>
      </c>
    </row>
    <row r="10" spans="1:9" ht="15.75" customHeight="1" x14ac:dyDescent="0.25">
      <c r="A10" s="5">
        <f t="shared" si="3"/>
        <v>2029</v>
      </c>
      <c r="B10" s="49">
        <v>135511.7036000001</v>
      </c>
      <c r="C10" s="50">
        <v>322000</v>
      </c>
      <c r="D10" s="50">
        <v>625000</v>
      </c>
      <c r="E10" s="50">
        <v>2649000</v>
      </c>
      <c r="F10" s="50">
        <v>2425000</v>
      </c>
      <c r="G10" s="17">
        <f t="shared" si="0"/>
        <v>6021000</v>
      </c>
      <c r="H10" s="17">
        <f t="shared" si="1"/>
        <v>155630.30419660022</v>
      </c>
      <c r="I10" s="17">
        <f t="shared" si="2"/>
        <v>5865369.6958034001</v>
      </c>
    </row>
    <row r="11" spans="1:9" ht="15.75" customHeight="1" x14ac:dyDescent="0.25">
      <c r="A11" s="5">
        <f t="shared" si="3"/>
        <v>2030</v>
      </c>
      <c r="B11" s="49">
        <v>134447.60999999999</v>
      </c>
      <c r="C11" s="50">
        <v>323000</v>
      </c>
      <c r="D11" s="50">
        <v>624000</v>
      </c>
      <c r="E11" s="50">
        <v>2643000</v>
      </c>
      <c r="F11" s="50">
        <v>2461000</v>
      </c>
      <c r="G11" s="17">
        <f t="shared" si="0"/>
        <v>6051000</v>
      </c>
      <c r="H11" s="17">
        <f t="shared" si="1"/>
        <v>154408.2310747797</v>
      </c>
      <c r="I11" s="17">
        <f t="shared" si="2"/>
        <v>5896591.7689252207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vq+N0+L+JpJGpodk87n3z65/nasL0ZBXjbSQSiS3v7OX8pMw4+rMFNhB2Q11x3UtkKihjPMqFqaduL6pzNlbWA==" saltValue="F0IO6i4vdxaArVJOoESkh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3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5">
      <c r="B3" s="19" t="s">
        <v>93</v>
      </c>
      <c r="C3" s="55">
        <v>0</v>
      </c>
    </row>
    <row r="4" spans="1:8" ht="15.75" customHeight="1" x14ac:dyDescent="0.25">
      <c r="B4" s="19" t="s">
        <v>97</v>
      </c>
      <c r="C4" s="101">
        <v>0.1181094422949656</v>
      </c>
    </row>
    <row r="5" spans="1:8" ht="15.75" customHeight="1" x14ac:dyDescent="0.25">
      <c r="B5" s="19" t="s">
        <v>95</v>
      </c>
      <c r="C5" s="101">
        <v>4.092669375070615E-2</v>
      </c>
    </row>
    <row r="6" spans="1:8" ht="15.75" customHeight="1" x14ac:dyDescent="0.25">
      <c r="B6" s="19" t="s">
        <v>91</v>
      </c>
      <c r="C6" s="101">
        <v>0.1246720913512278</v>
      </c>
    </row>
    <row r="7" spans="1:8" ht="15.75" customHeight="1" x14ac:dyDescent="0.25">
      <c r="B7" s="19" t="s">
        <v>96</v>
      </c>
      <c r="C7" s="101">
        <v>0.39358253472970761</v>
      </c>
    </row>
    <row r="8" spans="1:8" ht="15.75" customHeight="1" x14ac:dyDescent="0.25">
      <c r="B8" s="19" t="s">
        <v>98</v>
      </c>
      <c r="C8" s="101">
        <v>6.2908432630607329E-3</v>
      </c>
    </row>
    <row r="9" spans="1:8" ht="15.75" customHeight="1" x14ac:dyDescent="0.25">
      <c r="B9" s="19" t="s">
        <v>92</v>
      </c>
      <c r="C9" s="101">
        <v>0.2220567842889403</v>
      </c>
    </row>
    <row r="10" spans="1:8" ht="15.75" customHeight="1" x14ac:dyDescent="0.25">
      <c r="B10" s="19" t="s">
        <v>94</v>
      </c>
      <c r="C10" s="101">
        <v>9.4361610321391579E-2</v>
      </c>
    </row>
    <row r="11" spans="1:8" ht="15.75" customHeight="1" x14ac:dyDescent="0.25">
      <c r="B11" s="27" t="s">
        <v>60</v>
      </c>
      <c r="C11" s="48">
        <f>SUM(C3:C10)</f>
        <v>0.99999999999999967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5">
      <c r="B14" s="19" t="s">
        <v>84</v>
      </c>
      <c r="C14" s="55">
        <v>9.7423296417344624E-2</v>
      </c>
      <c r="D14" s="55">
        <v>9.7423296417344624E-2</v>
      </c>
      <c r="E14" s="55">
        <v>9.7423296417344624E-2</v>
      </c>
      <c r="F14" s="55">
        <v>9.7423296417344624E-2</v>
      </c>
    </row>
    <row r="15" spans="1:8" ht="15.75" customHeight="1" x14ac:dyDescent="0.25">
      <c r="B15" s="19" t="s">
        <v>102</v>
      </c>
      <c r="C15" s="101">
        <v>0.1915366877306228</v>
      </c>
      <c r="D15" s="101">
        <v>0.1915366877306228</v>
      </c>
      <c r="E15" s="101">
        <v>0.1915366877306228</v>
      </c>
      <c r="F15" s="101">
        <v>0.1915366877306228</v>
      </c>
    </row>
    <row r="16" spans="1:8" ht="15.75" customHeight="1" x14ac:dyDescent="0.25">
      <c r="B16" s="19" t="s">
        <v>2</v>
      </c>
      <c r="C16" s="101">
        <v>2.4338823045459711E-2</v>
      </c>
      <c r="D16" s="101">
        <v>2.4338823045459711E-2</v>
      </c>
      <c r="E16" s="101">
        <v>2.4338823045459711E-2</v>
      </c>
      <c r="F16" s="101">
        <v>2.4338823045459711E-2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101</v>
      </c>
      <c r="C19" s="101">
        <v>6.9059765006656573E-2</v>
      </c>
      <c r="D19" s="101">
        <v>6.9059765006656573E-2</v>
      </c>
      <c r="E19" s="101">
        <v>6.9059765006656573E-2</v>
      </c>
      <c r="F19" s="101">
        <v>6.9059765006656573E-2</v>
      </c>
    </row>
    <row r="20" spans="1:8" ht="15.75" customHeight="1" x14ac:dyDescent="0.25">
      <c r="B20" s="19" t="s">
        <v>79</v>
      </c>
      <c r="C20" s="101">
        <v>1.566656415025805E-2</v>
      </c>
      <c r="D20" s="101">
        <v>1.566656415025805E-2</v>
      </c>
      <c r="E20" s="101">
        <v>1.566656415025805E-2</v>
      </c>
      <c r="F20" s="101">
        <v>1.566656415025805E-2</v>
      </c>
    </row>
    <row r="21" spans="1:8" ht="15.75" customHeight="1" x14ac:dyDescent="0.25">
      <c r="B21" s="19" t="s">
        <v>88</v>
      </c>
      <c r="C21" s="101">
        <v>0.12804128496431269</v>
      </c>
      <c r="D21" s="101">
        <v>0.12804128496431269</v>
      </c>
      <c r="E21" s="101">
        <v>0.12804128496431269</v>
      </c>
      <c r="F21" s="101">
        <v>0.12804128496431269</v>
      </c>
    </row>
    <row r="22" spans="1:8" ht="15.75" customHeight="1" x14ac:dyDescent="0.25">
      <c r="B22" s="19" t="s">
        <v>99</v>
      </c>
      <c r="C22" s="101">
        <v>0.47393357868534569</v>
      </c>
      <c r="D22" s="101">
        <v>0.47393357868534569</v>
      </c>
      <c r="E22" s="101">
        <v>0.47393357868534569</v>
      </c>
      <c r="F22" s="101">
        <v>0.47393357868534569</v>
      </c>
    </row>
    <row r="23" spans="1:8" ht="15.75" customHeight="1" x14ac:dyDescent="0.25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5">
      <c r="B26" s="19" t="s">
        <v>81</v>
      </c>
      <c r="C26" s="55">
        <v>2.8053887999999999E-2</v>
      </c>
    </row>
    <row r="27" spans="1:8" ht="15.75" customHeight="1" x14ac:dyDescent="0.25">
      <c r="B27" s="19" t="s">
        <v>89</v>
      </c>
      <c r="C27" s="101">
        <v>2.2885193000000002E-2</v>
      </c>
    </row>
    <row r="28" spans="1:8" ht="15.75" customHeight="1" x14ac:dyDescent="0.25">
      <c r="B28" s="19" t="s">
        <v>103</v>
      </c>
      <c r="C28" s="101">
        <v>0.17241262399999999</v>
      </c>
    </row>
    <row r="29" spans="1:8" ht="15.75" customHeight="1" x14ac:dyDescent="0.25">
      <c r="B29" s="19" t="s">
        <v>86</v>
      </c>
      <c r="C29" s="101">
        <v>0.185358881</v>
      </c>
    </row>
    <row r="30" spans="1:8" ht="15.75" customHeight="1" x14ac:dyDescent="0.25">
      <c r="B30" s="19" t="s">
        <v>4</v>
      </c>
      <c r="C30" s="101">
        <v>0.10644221299999999</v>
      </c>
    </row>
    <row r="31" spans="1:8" ht="15.75" customHeight="1" x14ac:dyDescent="0.25">
      <c r="B31" s="19" t="s">
        <v>80</v>
      </c>
      <c r="C31" s="101">
        <v>0.22565471400000001</v>
      </c>
    </row>
    <row r="32" spans="1:8" ht="15.75" customHeight="1" x14ac:dyDescent="0.25">
      <c r="B32" s="19" t="s">
        <v>85</v>
      </c>
      <c r="C32" s="101">
        <v>2.5746142999999999E-2</v>
      </c>
    </row>
    <row r="33" spans="2:3" ht="15.75" customHeight="1" x14ac:dyDescent="0.25">
      <c r="B33" s="19" t="s">
        <v>100</v>
      </c>
      <c r="C33" s="101">
        <v>9.9438820999999997E-2</v>
      </c>
    </row>
    <row r="34" spans="2:3" ht="15.75" customHeight="1" x14ac:dyDescent="0.25">
      <c r="B34" s="19" t="s">
        <v>87</v>
      </c>
      <c r="C34" s="101">
        <v>0.13400752399999999</v>
      </c>
    </row>
    <row r="35" spans="2:3" ht="15.75" customHeight="1" x14ac:dyDescent="0.25">
      <c r="B35" s="27" t="s">
        <v>60</v>
      </c>
      <c r="C35" s="48">
        <f>SUM(C26:C34)</f>
        <v>1.0000000010000001</v>
      </c>
    </row>
  </sheetData>
  <sheetProtection algorithmName="SHA-512" hashValue="AqV2VqZvLwIwlDhBBC7J/DdnEV8ifGNwx+vzTidtXQC/J8d26ZN9H4TRsLeP7AgUIJfWIqE6XOsAMbLhAfGHHg==" saltValue="0/lAGteMuWt8J10zbEZZj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5">
      <c r="A2" s="3" t="s">
        <v>121</v>
      </c>
      <c r="B2" s="5" t="s">
        <v>111</v>
      </c>
      <c r="C2" s="52">
        <f>IFERROR(1-_xlfn.NORM.DIST(_xlfn.NORM.INV(SUM(C4:C5), 0, 1) + 1, 0, 1, TRUE), "")</f>
        <v>0.67504203655158279</v>
      </c>
      <c r="D2" s="52">
        <f>IFERROR(1-_xlfn.NORM.DIST(_xlfn.NORM.INV(SUM(D4:D5), 0, 1) + 1, 0, 1, TRUE), "")</f>
        <v>0.67504203655158279</v>
      </c>
      <c r="E2" s="52">
        <f>IFERROR(1-_xlfn.NORM.DIST(_xlfn.NORM.INV(SUM(E4:E5), 0, 1) + 1, 0, 1, TRUE), "")</f>
        <v>0.75043843150632927</v>
      </c>
      <c r="F2" s="52">
        <f>IFERROR(1-_xlfn.NORM.DIST(_xlfn.NORM.INV(SUM(F4:F5), 0, 1) + 1, 0, 1, TRUE), "")</f>
        <v>0.66568730911567853</v>
      </c>
      <c r="G2" s="52">
        <f>IFERROR(1-_xlfn.NORM.DIST(_xlfn.NORM.INV(SUM(G4:G5), 0, 1) + 1, 0, 1, TRUE), "")</f>
        <v>0.74913018204951753</v>
      </c>
    </row>
    <row r="3" spans="1:15" ht="15.75" customHeight="1" x14ac:dyDescent="0.25">
      <c r="B3" s="5" t="s">
        <v>108</v>
      </c>
      <c r="C3" s="52">
        <f>IFERROR(_xlfn.NORM.DIST(_xlfn.NORM.INV(SUM(C4:C5), 0, 1) + 1, 0, 1, TRUE) - SUM(C4:C5), "")</f>
        <v>0.25196803398097745</v>
      </c>
      <c r="D3" s="52">
        <f>IFERROR(_xlfn.NORM.DIST(_xlfn.NORM.INV(SUM(D4:D5), 0, 1) + 1, 0, 1, TRUE) - SUM(D4:D5), "")</f>
        <v>0.25196803398097745</v>
      </c>
      <c r="E3" s="52">
        <f>IFERROR(_xlfn.NORM.DIST(_xlfn.NORM.INV(SUM(E4:E5), 0, 1) + 1, 0, 1, TRUE) - SUM(E4:E5), "")</f>
        <v>0.20267974655581161</v>
      </c>
      <c r="F3" s="52">
        <f>IFERROR(_xlfn.NORM.DIST(_xlfn.NORM.INV(SUM(F4:F5), 0, 1) + 1, 0, 1, TRUE) - SUM(F4:F5), "")</f>
        <v>0.25767184933319648</v>
      </c>
      <c r="G3" s="52">
        <f>IFERROR(_xlfn.NORM.DIST(_xlfn.NORM.INV(SUM(G4:G5), 0, 1) + 1, 0, 1, TRUE) - SUM(G4:G5), "")</f>
        <v>0.20358350306069384</v>
      </c>
    </row>
    <row r="4" spans="1:15" ht="15.75" customHeight="1" x14ac:dyDescent="0.25">
      <c r="B4" s="5" t="s">
        <v>110</v>
      </c>
      <c r="C4" s="45">
        <v>3.4071046859025997E-2</v>
      </c>
      <c r="D4" s="53">
        <v>3.4071046859025997E-2</v>
      </c>
      <c r="E4" s="53">
        <v>3.6088269203901298E-2</v>
      </c>
      <c r="F4" s="53">
        <v>6.3694916665554005E-2</v>
      </c>
      <c r="G4" s="53">
        <v>3.8373056799173397E-2</v>
      </c>
    </row>
    <row r="5" spans="1:15" ht="15.75" customHeight="1" x14ac:dyDescent="0.25">
      <c r="B5" s="5" t="s">
        <v>106</v>
      </c>
      <c r="C5" s="45">
        <v>3.8918882608413703E-2</v>
      </c>
      <c r="D5" s="53">
        <v>3.8918882608413703E-2</v>
      </c>
      <c r="E5" s="53">
        <v>1.07935527339578E-2</v>
      </c>
      <c r="F5" s="53">
        <v>1.2945924885570999E-2</v>
      </c>
      <c r="G5" s="53">
        <v>8.9132580906153003E-3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122</v>
      </c>
      <c r="B8" s="5" t="s">
        <v>112</v>
      </c>
      <c r="C8" s="52">
        <f>IFERROR(1-_xlfn.NORM.DIST(_xlfn.NORM.INV(SUM(C10:C11), 0, 1) + 1, 0, 1, TRUE), "")</f>
        <v>0.74089082709460885</v>
      </c>
      <c r="D8" s="52">
        <f>IFERROR(1-_xlfn.NORM.DIST(_xlfn.NORM.INV(SUM(D10:D11), 0, 1) + 1, 0, 1, TRUE), "")</f>
        <v>0.74089082709460885</v>
      </c>
      <c r="E8" s="52">
        <f>IFERROR(1-_xlfn.NORM.DIST(_xlfn.NORM.INV(SUM(E10:E11), 0, 1) + 1, 0, 1, TRUE), "")</f>
        <v>0.96677635084453206</v>
      </c>
      <c r="F8" s="52">
        <f>IFERROR(1-_xlfn.NORM.DIST(_xlfn.NORM.INV(SUM(F10:F11), 0, 1) + 1, 0, 1, TRUE), "")</f>
        <v>0.9238380926121279</v>
      </c>
      <c r="G8" s="52">
        <f>IFERROR(1-_xlfn.NORM.DIST(_xlfn.NORM.INV(SUM(G10:G11), 0, 1) + 1, 0, 1, TRUE), "")</f>
        <v>0.94012814896248387</v>
      </c>
    </row>
    <row r="9" spans="1:15" ht="15.75" customHeight="1" x14ac:dyDescent="0.25">
      <c r="B9" s="5" t="s">
        <v>109</v>
      </c>
      <c r="C9" s="52">
        <f>IFERROR(_xlfn.NORM.DIST(_xlfn.NORM.INV(SUM(C10:C11), 0, 1) + 1, 0, 1, TRUE) - SUM(C10:C11), "")</f>
        <v>0.20923699059576364</v>
      </c>
      <c r="D9" s="52">
        <f>IFERROR(_xlfn.NORM.DIST(_xlfn.NORM.INV(SUM(D10:D11), 0, 1) + 1, 0, 1, TRUE) - SUM(D10:D11), "")</f>
        <v>0.20923699059576364</v>
      </c>
      <c r="E9" s="52">
        <f>IFERROR(_xlfn.NORM.DIST(_xlfn.NORM.INV(SUM(E10:E11), 0, 1) + 1, 0, 1, TRUE) - SUM(E10:E11), "")</f>
        <v>3.0935190752268023E-2</v>
      </c>
      <c r="F9" s="52">
        <f>IFERROR(_xlfn.NORM.DIST(_xlfn.NORM.INV(SUM(F10:F11), 0, 1) + 1, 0, 1, TRUE) - SUM(F10:F11), "")</f>
        <v>6.8641012867887277E-2</v>
      </c>
      <c r="G9" s="52">
        <f>IFERROR(_xlfn.NORM.DIST(_xlfn.NORM.INV(SUM(G10:G11), 0, 1) + 1, 0, 1, TRUE) - SUM(G10:G11), "")</f>
        <v>5.4575416528879483E-2</v>
      </c>
    </row>
    <row r="10" spans="1:15" ht="15.75" customHeight="1" x14ac:dyDescent="0.25">
      <c r="B10" s="5" t="s">
        <v>107</v>
      </c>
      <c r="C10" s="45">
        <v>2.6520758867263801E-2</v>
      </c>
      <c r="D10" s="53">
        <v>2.6520758867263801E-2</v>
      </c>
      <c r="E10" s="53">
        <v>2.2884584031998998E-3</v>
      </c>
      <c r="F10" s="53">
        <v>5.0772232934832998E-3</v>
      </c>
      <c r="G10" s="53">
        <v>3.7767339963465998E-3</v>
      </c>
    </row>
    <row r="11" spans="1:15" ht="15.75" customHeight="1" x14ac:dyDescent="0.25">
      <c r="B11" s="5" t="s">
        <v>119</v>
      </c>
      <c r="C11" s="45">
        <v>2.3351423442363701E-2</v>
      </c>
      <c r="D11" s="53">
        <v>2.3351423442363701E-2</v>
      </c>
      <c r="E11" s="53">
        <v>0</v>
      </c>
      <c r="F11" s="53">
        <v>2.4436712265015E-3</v>
      </c>
      <c r="G11" s="53">
        <v>1.51970051229E-3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5">
      <c r="B14" s="11" t="s">
        <v>117</v>
      </c>
      <c r="C14" s="51">
        <v>0.33770807775</v>
      </c>
      <c r="D14" s="54">
        <v>0.33097332158499992</v>
      </c>
      <c r="E14" s="54">
        <v>0.33097332158499992</v>
      </c>
      <c r="F14" s="54">
        <v>0.254121780247</v>
      </c>
      <c r="G14" s="54">
        <v>0.254121780247</v>
      </c>
      <c r="H14" s="45">
        <v>0.32700000000000001</v>
      </c>
      <c r="I14" s="55">
        <v>0.32700000000000001</v>
      </c>
      <c r="J14" s="55">
        <v>0.32700000000000001</v>
      </c>
      <c r="K14" s="55">
        <v>0.32700000000000001</v>
      </c>
      <c r="L14" s="45">
        <v>0.223</v>
      </c>
      <c r="M14" s="55">
        <v>0.223</v>
      </c>
      <c r="N14" s="55">
        <v>0.223</v>
      </c>
      <c r="O14" s="55">
        <v>0.223</v>
      </c>
    </row>
    <row r="15" spans="1:15" ht="15.75" customHeight="1" x14ac:dyDescent="0.25">
      <c r="B15" s="11" t="s">
        <v>118</v>
      </c>
      <c r="C15" s="52">
        <f t="shared" ref="C15:O15" si="0">iron_deficiency_anaemia*C14</f>
        <v>0.19242707582618324</v>
      </c>
      <c r="D15" s="52">
        <f t="shared" si="0"/>
        <v>0.18858959155909769</v>
      </c>
      <c r="E15" s="52">
        <f t="shared" si="0"/>
        <v>0.18858959155909769</v>
      </c>
      <c r="F15" s="52">
        <f t="shared" si="0"/>
        <v>0.14479935275008132</v>
      </c>
      <c r="G15" s="52">
        <f t="shared" si="0"/>
        <v>0.14479935275008132</v>
      </c>
      <c r="H15" s="52">
        <f t="shared" si="0"/>
        <v>0.18632558099999999</v>
      </c>
      <c r="I15" s="52">
        <f t="shared" si="0"/>
        <v>0.18632558099999999</v>
      </c>
      <c r="J15" s="52">
        <f t="shared" si="0"/>
        <v>0.18632558099999999</v>
      </c>
      <c r="K15" s="52">
        <f t="shared" si="0"/>
        <v>0.18632558099999999</v>
      </c>
      <c r="L15" s="52">
        <f t="shared" si="0"/>
        <v>0.127066069</v>
      </c>
      <c r="M15" s="52">
        <f t="shared" si="0"/>
        <v>0.127066069</v>
      </c>
      <c r="N15" s="52">
        <f t="shared" si="0"/>
        <v>0.127066069</v>
      </c>
      <c r="O15" s="52">
        <f t="shared" si="0"/>
        <v>0.127066069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jKhAc2D5tVmlroN744TEZ3IMD/7HSzrj3sTpc4c69O/at5uMHArH4lUsy8l38/GDHAqNJA7V6D3ckxnu0FQp2A==" saltValue="MNOV2XcseprXUb8iiVUNu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5">
      <c r="A2" s="3" t="s">
        <v>123</v>
      </c>
      <c r="B2" s="3" t="s">
        <v>124</v>
      </c>
      <c r="C2" s="45">
        <v>0.6431854963302609</v>
      </c>
      <c r="D2" s="53">
        <v>0.30086489999999999</v>
      </c>
      <c r="E2" s="53"/>
      <c r="F2" s="53"/>
      <c r="G2" s="53"/>
    </row>
    <row r="3" spans="1:7" x14ac:dyDescent="0.25">
      <c r="B3" s="3" t="s">
        <v>127</v>
      </c>
      <c r="C3" s="53">
        <v>0.19384044408798201</v>
      </c>
      <c r="D3" s="53">
        <v>0.2158948</v>
      </c>
      <c r="E3" s="53"/>
      <c r="F3" s="53"/>
      <c r="G3" s="53"/>
    </row>
    <row r="4" spans="1:7" x14ac:dyDescent="0.25">
      <c r="B4" s="3" t="s">
        <v>126</v>
      </c>
      <c r="C4" s="53">
        <v>0.147234946489334</v>
      </c>
      <c r="D4" s="53">
        <v>0.39192640000000001</v>
      </c>
      <c r="E4" s="53">
        <v>0.77740085124969494</v>
      </c>
      <c r="F4" s="53">
        <v>0.32832834124565102</v>
      </c>
      <c r="G4" s="53"/>
    </row>
    <row r="5" spans="1:7" x14ac:dyDescent="0.25">
      <c r="B5" s="3" t="s">
        <v>125</v>
      </c>
      <c r="C5" s="52">
        <v>1.5739129856228801E-2</v>
      </c>
      <c r="D5" s="52">
        <v>9.1313891112804399E-2</v>
      </c>
      <c r="E5" s="52">
        <f>1-SUM(E2:E4)</f>
        <v>0.22259914875030506</v>
      </c>
      <c r="F5" s="52">
        <f>1-SUM(F2:F4)</f>
        <v>0.67167165875434898</v>
      </c>
      <c r="G5" s="52">
        <f>1-SUM(G2:G4)</f>
        <v>1</v>
      </c>
    </row>
  </sheetData>
  <sheetProtection algorithmName="SHA-512" hashValue="J7/Gy/k0O036YsRVtUp6Qy4ubBNJfTG5yLbSUPRSxg5pRAySOmkVWnXgqLQ+a46gfCeMFbnccIFhvQOnKaxc4g==" saltValue="TLQWKLV/velnoBA/NybfR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GmEN4Vq21lnPInOJkCvA0RNBVgjMaUwA/Q89fbKJjigm7UGN7n48NS6RMbhrBCiWqDRaGQn9w/TrNZjI5mXtWw==" saltValue="CC9nDKbhR1vUq0ibEGeej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147</v>
      </c>
      <c r="B1" s="4" t="s">
        <v>145</v>
      </c>
    </row>
    <row r="2" spans="1:2" x14ac:dyDescent="0.25">
      <c r="A2" s="8" t="s">
        <v>144</v>
      </c>
      <c r="B2" s="41">
        <v>10</v>
      </c>
    </row>
    <row r="3" spans="1:2" x14ac:dyDescent="0.25">
      <c r="A3" s="8" t="s">
        <v>143</v>
      </c>
      <c r="B3" s="41">
        <v>10</v>
      </c>
    </row>
    <row r="4" spans="1:2" x14ac:dyDescent="0.25">
      <c r="A4" s="8" t="s">
        <v>142</v>
      </c>
      <c r="B4" s="41">
        <v>10</v>
      </c>
    </row>
    <row r="5" spans="1:2" x14ac:dyDescent="0.25">
      <c r="A5" s="8" t="s">
        <v>146</v>
      </c>
      <c r="B5" s="41">
        <v>10</v>
      </c>
    </row>
    <row r="6" spans="1:2" x14ac:dyDescent="0.25">
      <c r="A6" s="8" t="s">
        <v>140</v>
      </c>
      <c r="B6" s="41">
        <v>10</v>
      </c>
    </row>
    <row r="7" spans="1:2" x14ac:dyDescent="0.25">
      <c r="A7" s="8" t="s">
        <v>141</v>
      </c>
      <c r="B7" s="41">
        <v>10</v>
      </c>
    </row>
  </sheetData>
  <sheetProtection algorithmName="SHA-512" hashValue="go1T5UKsKJVn4HJSCKJ1fO2sjbDcdn70+GwucuenxGhO0D25IzMgVhI6VRjFNPEPszrH/yNURe+fcS2HuubZ/Q==" saltValue="r4NnSgi6vQ0UlPII9vLcrQ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ht="13" customHeight="1" x14ac:dyDescent="0.3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5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5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5">
      <c r="B5" s="32" t="s">
        <v>77</v>
      </c>
      <c r="C5" s="47"/>
      <c r="D5" s="47"/>
      <c r="E5" s="38" t="str">
        <f>IF(E$7="","",E$7)</f>
        <v/>
      </c>
    </row>
    <row r="6" spans="1:5" x14ac:dyDescent="0.25">
      <c r="B6" s="32" t="s">
        <v>75</v>
      </c>
      <c r="C6" s="47"/>
      <c r="D6" s="47"/>
      <c r="E6" s="38" t="str">
        <f>IF(E$7="","",E$7)</f>
        <v/>
      </c>
    </row>
    <row r="7" spans="1:5" x14ac:dyDescent="0.25">
      <c r="B7" s="32" t="s">
        <v>148</v>
      </c>
      <c r="C7" s="31"/>
      <c r="D7" s="30"/>
      <c r="E7" s="47"/>
    </row>
    <row r="9" spans="1:5" ht="13" customHeight="1" x14ac:dyDescent="0.3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5">
      <c r="B10" s="32" t="s">
        <v>78</v>
      </c>
      <c r="C10" s="47"/>
      <c r="D10" s="47"/>
      <c r="E10" s="38" t="str">
        <f>IF(E$7="","",E$7)</f>
        <v/>
      </c>
    </row>
    <row r="11" spans="1:5" x14ac:dyDescent="0.25">
      <c r="B11" s="32" t="s">
        <v>74</v>
      </c>
      <c r="C11" s="47"/>
      <c r="D11" s="47"/>
      <c r="E11" s="38" t="str">
        <f>IF(E$7="","",E$7)</f>
        <v/>
      </c>
    </row>
    <row r="12" spans="1:5" x14ac:dyDescent="0.25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5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5">
      <c r="B14" s="32" t="s">
        <v>148</v>
      </c>
      <c r="C14" s="31"/>
      <c r="D14" s="30"/>
      <c r="E14" s="47"/>
    </row>
    <row r="16" spans="1:5" ht="13" customHeight="1" x14ac:dyDescent="0.3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5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5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5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5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5">
      <c r="B21" s="32" t="s">
        <v>148</v>
      </c>
      <c r="C21" s="31"/>
      <c r="D21" s="30"/>
      <c r="E21" s="47"/>
    </row>
  </sheetData>
  <sheetProtection algorithmName="SHA-512" hashValue="7lEkUACNujvIngvvvdicNDlNsHXpHSTzUKOZjcCKoPdTFeZvO7YneBbAGDLKrib1Kp8N2pBJOZStbLCL5kzV8w==" saltValue="kQ6Wg1cRLXQjhF+Kt+NYp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159</v>
      </c>
      <c r="C1" s="40" t="s">
        <v>161</v>
      </c>
      <c r="D1" s="40" t="s">
        <v>157</v>
      </c>
    </row>
    <row r="2" spans="1:4" ht="13" customHeight="1" x14ac:dyDescent="0.3">
      <c r="A2" s="40" t="s">
        <v>163</v>
      </c>
      <c r="B2" s="32" t="s">
        <v>164</v>
      </c>
      <c r="C2" s="32" t="s">
        <v>162</v>
      </c>
      <c r="D2" s="47"/>
    </row>
    <row r="3" spans="1:4" ht="13" customHeight="1" x14ac:dyDescent="0.3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xfUaa9G+0fevcSgUuNCNuPtlmBQgToOIQbk4bs1haEAxOi/7cIdrALXJR0o1pFI1gPuQslHos6oWQAKK9TxdWQ==" saltValue="naz9oBxnmhXAbSJ6JB+Ro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5">
      <c r="A2" s="5" t="s">
        <v>165</v>
      </c>
      <c r="B2" s="45">
        <v>0.31164749652061802</v>
      </c>
      <c r="C2" s="98">
        <v>0.95</v>
      </c>
      <c r="D2" s="56">
        <v>57.606667746332491</v>
      </c>
      <c r="E2" s="56" t="s">
        <v>183</v>
      </c>
      <c r="F2" s="98">
        <v>1</v>
      </c>
      <c r="G2" s="98">
        <v>1</v>
      </c>
    </row>
    <row r="3" spans="1:7" ht="15.75" customHeight="1" x14ac:dyDescent="0.25">
      <c r="A3" s="5" t="s">
        <v>166</v>
      </c>
      <c r="B3" s="45">
        <v>0</v>
      </c>
      <c r="C3" s="98">
        <v>0.95</v>
      </c>
      <c r="D3" s="56">
        <v>39.870654846835578</v>
      </c>
      <c r="E3" s="56" t="s">
        <v>183</v>
      </c>
      <c r="F3" s="98">
        <v>1</v>
      </c>
      <c r="G3" s="98">
        <v>1</v>
      </c>
    </row>
    <row r="4" spans="1:7" ht="15.75" customHeight="1" x14ac:dyDescent="0.25">
      <c r="A4" s="5" t="s">
        <v>167</v>
      </c>
      <c r="B4" s="98">
        <v>0</v>
      </c>
      <c r="C4" s="98">
        <v>0.95</v>
      </c>
      <c r="D4" s="56">
        <v>407.77420725897531</v>
      </c>
      <c r="E4" s="56" t="s">
        <v>183</v>
      </c>
      <c r="F4" s="98">
        <v>1</v>
      </c>
      <c r="G4" s="98">
        <v>1</v>
      </c>
    </row>
    <row r="5" spans="1:7" ht="15.75" customHeight="1" x14ac:dyDescent="0.25">
      <c r="A5" s="5" t="s">
        <v>169</v>
      </c>
      <c r="B5" s="98">
        <v>0</v>
      </c>
      <c r="C5" s="98">
        <v>0.95</v>
      </c>
      <c r="D5" s="56">
        <v>0.96257147415530553</v>
      </c>
      <c r="E5" s="56" t="s">
        <v>183</v>
      </c>
      <c r="F5" s="98">
        <v>1</v>
      </c>
      <c r="G5" s="98">
        <v>1</v>
      </c>
    </row>
    <row r="6" spans="1:7" ht="15.75" customHeight="1" x14ac:dyDescent="0.25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5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5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5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5">
      <c r="A10" s="11" t="s">
        <v>174</v>
      </c>
      <c r="B10" s="45">
        <v>0</v>
      </c>
      <c r="C10" s="98">
        <v>0.95</v>
      </c>
      <c r="D10" s="56">
        <v>13.0029542906315</v>
      </c>
      <c r="E10" s="56" t="s">
        <v>183</v>
      </c>
      <c r="F10" s="98">
        <v>1</v>
      </c>
      <c r="G10" s="98">
        <v>1</v>
      </c>
    </row>
    <row r="11" spans="1:7" ht="15.75" customHeight="1" x14ac:dyDescent="0.25">
      <c r="A11" s="11" t="s">
        <v>175</v>
      </c>
      <c r="B11" s="98">
        <v>0</v>
      </c>
      <c r="C11" s="98">
        <v>0.95</v>
      </c>
      <c r="D11" s="56">
        <v>13.0029542906315</v>
      </c>
      <c r="E11" s="56" t="s">
        <v>183</v>
      </c>
      <c r="F11" s="98">
        <v>1</v>
      </c>
      <c r="G11" s="98">
        <v>1</v>
      </c>
    </row>
    <row r="12" spans="1:7" ht="15.75" customHeight="1" x14ac:dyDescent="0.25">
      <c r="A12" s="11" t="s">
        <v>176</v>
      </c>
      <c r="B12" s="98">
        <v>0</v>
      </c>
      <c r="C12" s="98">
        <v>0.95</v>
      </c>
      <c r="D12" s="56">
        <v>13.0029542906315</v>
      </c>
      <c r="E12" s="56" t="s">
        <v>183</v>
      </c>
      <c r="F12" s="98">
        <v>1</v>
      </c>
      <c r="G12" s="98">
        <v>1</v>
      </c>
    </row>
    <row r="13" spans="1:7" ht="15.75" customHeight="1" x14ac:dyDescent="0.25">
      <c r="A13" s="11" t="s">
        <v>177</v>
      </c>
      <c r="B13" s="98">
        <v>0</v>
      </c>
      <c r="C13" s="98">
        <v>0.95</v>
      </c>
      <c r="D13" s="56">
        <v>13.0029542906315</v>
      </c>
      <c r="E13" s="56" t="s">
        <v>183</v>
      </c>
      <c r="F13" s="98">
        <v>1</v>
      </c>
      <c r="G13" s="98">
        <v>1</v>
      </c>
    </row>
    <row r="14" spans="1:7" ht="15.75" customHeight="1" x14ac:dyDescent="0.25">
      <c r="A14" s="5" t="s">
        <v>178</v>
      </c>
      <c r="B14" s="45">
        <v>0</v>
      </c>
      <c r="C14" s="98">
        <v>0.95</v>
      </c>
      <c r="D14" s="56">
        <v>13.0029542906315</v>
      </c>
      <c r="E14" s="56" t="s">
        <v>183</v>
      </c>
      <c r="F14" s="98">
        <v>1</v>
      </c>
      <c r="G14" s="98">
        <v>1</v>
      </c>
    </row>
    <row r="15" spans="1:7" ht="15.75" customHeight="1" x14ac:dyDescent="0.25">
      <c r="A15" s="5" t="s">
        <v>179</v>
      </c>
      <c r="B15" s="98">
        <v>0</v>
      </c>
      <c r="C15" s="98">
        <v>0.95</v>
      </c>
      <c r="D15" s="56">
        <v>13.0029542906315</v>
      </c>
      <c r="E15" s="56" t="s">
        <v>183</v>
      </c>
      <c r="F15" s="98">
        <v>1</v>
      </c>
      <c r="G15" s="98">
        <v>1</v>
      </c>
    </row>
    <row r="16" spans="1:7" ht="15.75" customHeight="1" x14ac:dyDescent="0.25">
      <c r="A16" s="5" t="s">
        <v>180</v>
      </c>
      <c r="B16" s="45">
        <v>0.52471805697679497</v>
      </c>
      <c r="C16" s="98">
        <v>0.95</v>
      </c>
      <c r="D16" s="56">
        <v>0.70972009052684637</v>
      </c>
      <c r="E16" s="56" t="s">
        <v>183</v>
      </c>
      <c r="F16" s="98">
        <v>1</v>
      </c>
      <c r="G16" s="98">
        <v>1</v>
      </c>
    </row>
    <row r="17" spans="1:7" ht="15.75" customHeight="1" x14ac:dyDescent="0.25">
      <c r="A17" s="5" t="s">
        <v>181</v>
      </c>
      <c r="B17" s="98">
        <v>0.95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" customHeight="1" x14ac:dyDescent="0.25">
      <c r="A18" s="5" t="s">
        <v>151</v>
      </c>
      <c r="B18" s="98">
        <v>0</v>
      </c>
      <c r="C18" s="98">
        <v>0.95</v>
      </c>
      <c r="D18" s="56">
        <v>9.4026515569123248</v>
      </c>
      <c r="E18" s="56" t="s">
        <v>183</v>
      </c>
      <c r="F18" s="98">
        <v>1</v>
      </c>
      <c r="G18" s="98">
        <v>1</v>
      </c>
    </row>
    <row r="19" spans="1:7" ht="15.75" customHeight="1" x14ac:dyDescent="0.25">
      <c r="A19" s="5" t="s">
        <v>152</v>
      </c>
      <c r="B19" s="98">
        <v>0</v>
      </c>
      <c r="C19" s="98">
        <v>0.95</v>
      </c>
      <c r="D19" s="56">
        <v>9.4026515569123248</v>
      </c>
      <c r="E19" s="56" t="s">
        <v>183</v>
      </c>
      <c r="F19" s="98">
        <v>1</v>
      </c>
      <c r="G19" s="98">
        <v>1</v>
      </c>
    </row>
    <row r="20" spans="1:7" ht="15.75" customHeight="1" x14ac:dyDescent="0.25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5">
      <c r="A21" s="5" t="s">
        <v>182</v>
      </c>
      <c r="B21" s="45">
        <v>0.221929475665093</v>
      </c>
      <c r="C21" s="98">
        <v>0.95</v>
      </c>
      <c r="D21" s="56">
        <v>12.07130746537854</v>
      </c>
      <c r="E21" s="56" t="s">
        <v>183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22.434109984381621</v>
      </c>
      <c r="E22" s="56" t="s">
        <v>183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2.9841451639999999E-2</v>
      </c>
      <c r="C23" s="98">
        <v>0.95</v>
      </c>
      <c r="D23" s="56">
        <v>4.2735719414984246</v>
      </c>
      <c r="E23" s="56" t="s">
        <v>183</v>
      </c>
      <c r="F23" s="98">
        <v>1</v>
      </c>
      <c r="G23" s="98">
        <v>1</v>
      </c>
    </row>
    <row r="24" spans="1:7" ht="15.75" customHeight="1" x14ac:dyDescent="0.25">
      <c r="A24" s="5" t="s">
        <v>188</v>
      </c>
      <c r="B24" s="45">
        <v>0.73915968946316501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5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5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5">
      <c r="A27" s="5" t="s">
        <v>191</v>
      </c>
      <c r="B27" s="45">
        <v>0.27645848754729901</v>
      </c>
      <c r="C27" s="98">
        <v>0.95</v>
      </c>
      <c r="D27" s="56">
        <v>18.56902833381691</v>
      </c>
      <c r="E27" s="56" t="s">
        <v>183</v>
      </c>
      <c r="F27" s="98">
        <v>1</v>
      </c>
      <c r="G27" s="98">
        <v>1</v>
      </c>
    </row>
    <row r="28" spans="1:7" ht="15.75" customHeight="1" x14ac:dyDescent="0.25">
      <c r="A28" s="5" t="s">
        <v>192</v>
      </c>
      <c r="B28" s="45">
        <v>0.28195290000000001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5">
      <c r="A29" s="5" t="s">
        <v>193</v>
      </c>
      <c r="B29" s="45">
        <v>0</v>
      </c>
      <c r="C29" s="98">
        <v>0.95</v>
      </c>
      <c r="D29" s="56">
        <v>112.6831812504641</v>
      </c>
      <c r="E29" s="56" t="s">
        <v>183</v>
      </c>
      <c r="F29" s="98">
        <v>1</v>
      </c>
      <c r="G29" s="98">
        <v>1</v>
      </c>
    </row>
    <row r="30" spans="1:7" ht="15.75" customHeight="1" x14ac:dyDescent="0.25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5">
      <c r="A31" s="5" t="s">
        <v>164</v>
      </c>
      <c r="B31" s="45">
        <v>0</v>
      </c>
      <c r="C31" s="98">
        <v>0.95</v>
      </c>
      <c r="D31" s="56">
        <v>0.38594540069210109</v>
      </c>
      <c r="E31" s="56" t="s">
        <v>183</v>
      </c>
      <c r="F31" s="98">
        <v>1</v>
      </c>
      <c r="G31" s="98">
        <v>1</v>
      </c>
    </row>
    <row r="32" spans="1:7" ht="15.75" customHeight="1" x14ac:dyDescent="0.25">
      <c r="A32" s="5" t="s">
        <v>196</v>
      </c>
      <c r="B32" s="45">
        <v>0.30086489999999999</v>
      </c>
      <c r="C32" s="98">
        <v>0.95</v>
      </c>
      <c r="D32" s="56">
        <v>1.5229281476965579</v>
      </c>
      <c r="E32" s="56" t="s">
        <v>183</v>
      </c>
      <c r="F32" s="98">
        <v>1</v>
      </c>
      <c r="G32" s="98">
        <v>1</v>
      </c>
    </row>
    <row r="33" spans="1:7" ht="15.75" customHeight="1" x14ac:dyDescent="0.25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5">
      <c r="A34" s="5" t="s">
        <v>198</v>
      </c>
      <c r="B34" s="45">
        <v>0.89783691431137891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5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5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5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5">
      <c r="A38" s="5" t="s">
        <v>202</v>
      </c>
      <c r="B38" s="45">
        <v>7.1380570530891405E-2</v>
      </c>
      <c r="C38" s="98">
        <v>0.95</v>
      </c>
      <c r="D38" s="56">
        <v>5.5334670981932863</v>
      </c>
      <c r="E38" s="56" t="s">
        <v>183</v>
      </c>
      <c r="F38" s="98">
        <v>1</v>
      </c>
      <c r="G38" s="98">
        <v>1</v>
      </c>
    </row>
    <row r="39" spans="1:7" ht="15.75" customHeight="1" x14ac:dyDescent="0.25">
      <c r="A39" s="5" t="s">
        <v>203</v>
      </c>
      <c r="B39" s="45">
        <v>0.520675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49bQNH7ckQP9UXP5AjUlaHQ1hDhzhuIURCrpBplmKoV3ElkOx6g61Xo+PTzovEOjCf9UXfxfLVWv9DRyLeM/JA==" saltValue="JxPtJlcQsLMjCkMV/oCHr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163</v>
      </c>
      <c r="B1" s="4" t="s">
        <v>205</v>
      </c>
      <c r="C1" s="4" t="s">
        <v>206</v>
      </c>
    </row>
    <row r="2" spans="1:3" x14ac:dyDescent="0.25">
      <c r="A2" s="57" t="s">
        <v>178</v>
      </c>
      <c r="B2" s="47" t="s">
        <v>191</v>
      </c>
      <c r="C2" s="47"/>
    </row>
    <row r="3" spans="1:3" x14ac:dyDescent="0.25">
      <c r="A3" s="57" t="s">
        <v>179</v>
      </c>
      <c r="B3" s="47" t="s">
        <v>191</v>
      </c>
      <c r="C3" s="47"/>
    </row>
    <row r="4" spans="1:3" x14ac:dyDescent="0.25">
      <c r="A4" s="57" t="s">
        <v>193</v>
      </c>
      <c r="B4" s="47" t="s">
        <v>184</v>
      </c>
      <c r="C4" s="47"/>
    </row>
    <row r="5" spans="1:3" x14ac:dyDescent="0.25">
      <c r="A5" s="57" t="s">
        <v>190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y2ikPqbEBzfUkU7Z1WV4+hccVfpemohr8hi/ZoMNdyQ8bq0rQpRUJ1oJXYylEkZ7j462YLcYVZqnF+azCTmpPg==" saltValue="AmzEsgKYd2MBUOZKEVBbG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163</v>
      </c>
    </row>
    <row r="2" spans="1:1" x14ac:dyDescent="0.25">
      <c r="A2" s="33" t="s">
        <v>170</v>
      </c>
    </row>
    <row r="3" spans="1:1" x14ac:dyDescent="0.25">
      <c r="A3" s="33" t="s">
        <v>180</v>
      </c>
    </row>
    <row r="4" spans="1:1" x14ac:dyDescent="0.25">
      <c r="A4" s="33" t="s">
        <v>185</v>
      </c>
    </row>
    <row r="5" spans="1:1" x14ac:dyDescent="0.25">
      <c r="A5" s="33" t="s">
        <v>197</v>
      </c>
    </row>
    <row r="6" spans="1:1" x14ac:dyDescent="0.25">
      <c r="A6" s="33" t="s">
        <v>198</v>
      </c>
    </row>
    <row r="7" spans="1:1" x14ac:dyDescent="0.25">
      <c r="A7" s="33" t="s">
        <v>199</v>
      </c>
    </row>
    <row r="8" spans="1:1" x14ac:dyDescent="0.25">
      <c r="A8" s="33" t="s">
        <v>200</v>
      </c>
    </row>
    <row r="9" spans="1:1" x14ac:dyDescent="0.25">
      <c r="A9" s="33" t="s">
        <v>201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fV523zB1zbH2a6GeDoEdCg3xgPZ6SdE682kL2mo9l7bKuE3OCH66KlVLGly1TRlTPxs2isLdqflNUBwsf3ID+g==" saltValue="fcRD03SCiEjMLUwnz8vs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5">
      <c r="A2" s="3" t="s">
        <v>84</v>
      </c>
      <c r="B2" s="21">
        <f>'Entradas de población-año base'!C51</f>
        <v>3.2</v>
      </c>
      <c r="C2" s="21">
        <f>'Entradas de población-año base'!C52</f>
        <v>3.2</v>
      </c>
      <c r="D2" s="21">
        <f>'Entradas de población-año base'!C53</f>
        <v>3.2</v>
      </c>
      <c r="E2" s="21">
        <f>'Entradas de población-año base'!C54</f>
        <v>3.2</v>
      </c>
      <c r="F2" s="21">
        <f>'Entradas de población-año base'!C55</f>
        <v>3.2</v>
      </c>
    </row>
    <row r="3" spans="1:6" ht="15.75" customHeight="1" x14ac:dyDescent="0.25">
      <c r="A3" s="3" t="s">
        <v>6</v>
      </c>
      <c r="B3" s="21">
        <f>frac_mam_1month * 2.6</f>
        <v>6.8953973054885889E-2</v>
      </c>
      <c r="C3" s="21">
        <f>frac_mam_1_5months * 2.6</f>
        <v>6.8953973054885889E-2</v>
      </c>
      <c r="D3" s="21">
        <f>frac_mam_6_11months * 2.6</f>
        <v>5.9499918483197399E-3</v>
      </c>
      <c r="E3" s="21">
        <f>frac_mam_12_23months * 2.6</f>
        <v>1.3200780563056579E-2</v>
      </c>
      <c r="F3" s="21">
        <f>frac_mam_24_59months * 2.6</f>
        <v>9.8195083905011603E-3</v>
      </c>
    </row>
    <row r="4" spans="1:6" ht="15.75" customHeight="1" x14ac:dyDescent="0.25">
      <c r="A4" s="3" t="s">
        <v>207</v>
      </c>
      <c r="B4" s="21">
        <f>frac_sam_1month * 2.6</f>
        <v>6.0713700950145624E-2</v>
      </c>
      <c r="C4" s="21">
        <f>frac_sam_1_5months * 2.6</f>
        <v>6.0713700950145624E-2</v>
      </c>
      <c r="D4" s="21">
        <f>frac_sam_6_11months * 2.6</f>
        <v>0</v>
      </c>
      <c r="E4" s="21">
        <f>frac_sam_12_23months * 2.6</f>
        <v>6.3535451889038998E-3</v>
      </c>
      <c r="F4" s="21">
        <f>frac_sam_24_59months * 2.6</f>
        <v>3.9512213319540003E-3</v>
      </c>
    </row>
  </sheetData>
  <sheetProtection algorithmName="SHA-512" hashValue="3D7xxUpb07O8P8Vt6WVzE3p2VGzpS/ZUwUErgVGgjmjcI4+GImCyYqLJzIkf4kOu+TyaDKV2hwHkq48t3KD1Ww==" saltValue="edmjFyghGuT+7e/LeYXue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">
      <c r="A2" s="4" t="s">
        <v>83</v>
      </c>
      <c r="B2" s="5" t="s">
        <v>167</v>
      </c>
      <c r="C2" s="60">
        <v>0</v>
      </c>
      <c r="D2" s="60">
        <f>food_insecure</f>
        <v>1.6E-2</v>
      </c>
      <c r="E2" s="60">
        <f>food_insecure</f>
        <v>1.6E-2</v>
      </c>
      <c r="F2" s="60">
        <f>food_insecure</f>
        <v>1.6E-2</v>
      </c>
      <c r="G2" s="60">
        <f>food_insecure</f>
        <v>1.6E-2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1.6E-2</v>
      </c>
      <c r="F5" s="60">
        <f>food_insecure</f>
        <v>1.6E-2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192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193</v>
      </c>
      <c r="C8" s="60">
        <v>0</v>
      </c>
      <c r="D8" s="60">
        <v>0</v>
      </c>
      <c r="E8" s="60">
        <f>food_insecure</f>
        <v>1.6E-2</v>
      </c>
      <c r="F8" s="60">
        <f>food_insecure</f>
        <v>1.6E-2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204</v>
      </c>
      <c r="C9" s="60">
        <v>0</v>
      </c>
      <c r="D9" s="60">
        <v>0</v>
      </c>
      <c r="E9" s="60">
        <f>food_insecure</f>
        <v>1.6E-2</v>
      </c>
      <c r="F9" s="60">
        <f>food_insecure</f>
        <v>1.6E-2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164</v>
      </c>
      <c r="C10" s="60">
        <v>0</v>
      </c>
      <c r="D10" s="60">
        <f>IF(ISBLANK(comm_deliv), frac_children_health_facility,1)</f>
        <v>0.89400000000000002</v>
      </c>
      <c r="E10" s="60">
        <f>IF(ISBLANK(comm_deliv), frac_children_health_facility,1)</f>
        <v>0.89400000000000002</v>
      </c>
      <c r="F10" s="60">
        <f>IF(ISBLANK(comm_deliv), frac_children_health_facility,1)</f>
        <v>0.89400000000000002</v>
      </c>
      <c r="G10" s="60">
        <f>IF(ISBLANK(comm_deliv), frac_children_health_facility,1)</f>
        <v>0.89400000000000002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202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1.6E-2</v>
      </c>
      <c r="I15" s="60">
        <f>food_insecure</f>
        <v>1.6E-2</v>
      </c>
      <c r="J15" s="60">
        <f>food_insecure</f>
        <v>1.6E-2</v>
      </c>
      <c r="K15" s="60">
        <f>food_insecure</f>
        <v>1.6E-2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0.77400000000000002</v>
      </c>
      <c r="I18" s="60">
        <f>frac_PW_health_facility</f>
        <v>0.77400000000000002</v>
      </c>
      <c r="J18" s="60">
        <f>frac_PW_health_facility</f>
        <v>0.77400000000000002</v>
      </c>
      <c r="K18" s="60">
        <f>frac_PW_health_facility</f>
        <v>0.77400000000000002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0.17399999999999999</v>
      </c>
      <c r="M24" s="60">
        <f>famplan_unmet_need</f>
        <v>0.17399999999999999</v>
      </c>
      <c r="N24" s="60">
        <f>famplan_unmet_need</f>
        <v>0.17399999999999999</v>
      </c>
      <c r="O24" s="60">
        <f>famplan_unmet_need</f>
        <v>0.17399999999999999</v>
      </c>
    </row>
    <row r="25" spans="1:15" ht="15.75" customHeight="1" x14ac:dyDescent="0.25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0.16617328544311527</v>
      </c>
      <c r="M25" s="60">
        <f>(1-food_insecure)*(0.49)+food_insecure*(0.7)</f>
        <v>0.49335999999999997</v>
      </c>
      <c r="N25" s="60">
        <f>(1-food_insecure)*(0.49)+food_insecure*(0.7)</f>
        <v>0.49335999999999997</v>
      </c>
      <c r="O25" s="60">
        <f>(1-food_insecure)*(0.49)+food_insecure*(0.7)</f>
        <v>0.49335999999999997</v>
      </c>
    </row>
    <row r="26" spans="1:15" ht="15.75" customHeight="1" x14ac:dyDescent="0.25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7.1217122332763685E-2</v>
      </c>
      <c r="M26" s="60">
        <f>(1-food_insecure)*(0.21)+food_insecure*(0.3)</f>
        <v>0.21143999999999999</v>
      </c>
      <c r="N26" s="60">
        <f>(1-food_insecure)*(0.21)+food_insecure*(0.3)</f>
        <v>0.21143999999999999</v>
      </c>
      <c r="O26" s="60">
        <f>(1-food_insecure)*(0.21)+food_insecure*(0.3)</f>
        <v>0.21143999999999999</v>
      </c>
    </row>
    <row r="27" spans="1:15" ht="15.75" customHeight="1" x14ac:dyDescent="0.25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9.942912652587893E-2</v>
      </c>
      <c r="M27" s="60">
        <f>(1-food_insecure)*(0.3)</f>
        <v>0.29519999999999996</v>
      </c>
      <c r="N27" s="60">
        <f>(1-food_insecure)*(0.3)</f>
        <v>0.29519999999999996</v>
      </c>
      <c r="O27" s="60">
        <f>(1-food_insecure)*(0.3)</f>
        <v>0.29519999999999996</v>
      </c>
    </row>
    <row r="28" spans="1:15" ht="15.75" customHeight="1" x14ac:dyDescent="0.25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0.66318046569824207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xUimOJr2riH6qH1Jr9uqSQMiKhIiHNXbvngoICbASJ7ecIvjPtIlF/tRXrned98m4IXXDf2e1wyY7YZOZ12A6g==" saltValue="VVazbkjvxQgTQMxMHoXyE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183</v>
      </c>
    </row>
    <row r="2" spans="1:1" x14ac:dyDescent="0.25">
      <c r="A2" s="8" t="s">
        <v>213</v>
      </c>
    </row>
    <row r="3" spans="1:1" x14ac:dyDescent="0.25">
      <c r="A3" s="8" t="s">
        <v>212</v>
      </c>
    </row>
    <row r="4" spans="1:1" x14ac:dyDescent="0.25">
      <c r="A4" s="8" t="s">
        <v>214</v>
      </c>
    </row>
  </sheetData>
  <sheetProtection algorithmName="SHA-512" hashValue="AMO6gK410PjYRWWQWKWtGIuIBsHwV4jEj2ei2pVUA5wR/ajRX4ShaHr3PuH8+dAM3VbVWejD8aceyTvL1h1nXA==" saltValue="gEIT9zKHrBHEeeIwtiewS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4" customHeight="1" x14ac:dyDescent="0.3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f3V37/HGajCQaAReujMmt0Vfa43cgN5oRiiUgxPQU80r72znY6MdvF16O95CwEVigAtrq6VrdLBpIhXj7a8t4w==" saltValue="Myb8b5YGRr9R2oBdqU8cX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U6YZPYkY3Os4qYDnZzDFrbRt2ISLsHCBrvq9SfA3x88u6UZUKhoxZ4WuXy5yDgXDob+5Tff1LMZinFqxT6SH/Q==" saltValue="BNx0rQAchKZmIopw0HjVZ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5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5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5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5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5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5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5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5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5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5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5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5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5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8JImOMeYsUWlw1JObuDxxBSmNS96QLJiZr7nU+rMxPZLrPvsPDnV5gT3Sc8tjvrzQvwXs1xlupEQSTnZw85pVQ==" saltValue="lip+PQ6AXojyUY98lpWUb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5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5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5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5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5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5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5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5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5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5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5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5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5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bDQGkK/27dW4IIWREzhuEYoibsCYFV5mX7JY+vu7VmO6nW04QR2vaMlcx0lxDjq2VhbKSfd7D0mc0c4sZfnfgg==" saltValue="3GcudQYvTzEokldByg3Ax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ht="13" customHeight="1" x14ac:dyDescent="0.3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78</v>
      </c>
      <c r="C5" s="8" t="s">
        <v>150</v>
      </c>
      <c r="D5" s="88">
        <f>IF(ISBLANK('Distribución de lactancia'!$C$2),1.56,(1.56-'Distribución de lactancia'!$C$2)/(1-'Distribución de lactancia'!$C$2))</f>
        <v>2.5694429297031203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149</v>
      </c>
      <c r="D6" s="88">
        <f>IF(ISBLANK('Distribución de lactancia'!$C$2),1.56,(1.56-'Distribución de lactancia'!$C$2)/(1-'Distribución de lactancia'!$C$2))</f>
        <v>2.5694429297031203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74</v>
      </c>
      <c r="C8" s="8" t="s">
        <v>150</v>
      </c>
      <c r="D8" s="88">
        <v>1</v>
      </c>
      <c r="E8" s="88">
        <f>IF(ISBLANK('Distribución de lactancia'!$D$2),1.56,(1.56-'Distribución de lactancia'!$D$2)/(1-'Distribución de lactancia'!$D$2))</f>
        <v>1.8009896799631429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149</v>
      </c>
      <c r="D9" s="88">
        <v>1</v>
      </c>
      <c r="E9" s="88">
        <f>IF(ISBLANK('Distribución de lactancia'!$D$2),1.56,(1.56-'Distribución de lactancia'!$D$2)/(1-'Distribución de lactancia'!$D$2))</f>
        <v>1.8009896799631429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77</v>
      </c>
      <c r="C11" s="8" t="s">
        <v>150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149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ht="13" customHeight="1" x14ac:dyDescent="0.3">
      <c r="A55" s="4" t="s">
        <v>237</v>
      </c>
      <c r="B55" s="103" t="s">
        <v>104</v>
      </c>
      <c r="C55" s="8" t="s">
        <v>150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149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78</v>
      </c>
      <c r="C58" s="8" t="s">
        <v>150</v>
      </c>
      <c r="D58" s="88">
        <f>IF(ISBLANK('Distribución de lactancia'!$C$2),1.37,(1.37-'Distribución de lactancia'!$C$2)/(1-'Distribución de lactancia'!$C$2))</f>
        <v>2.036953364268133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149</v>
      </c>
      <c r="D59" s="88">
        <f>IF(ISBLANK('Distribución de lactancia'!$C$2),1.37,(1.37-'Distribución de lactancia'!$C$2)/(1-'Distribución de lactancia'!$C$2))</f>
        <v>2.036953364268133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74</v>
      </c>
      <c r="C61" s="8" t="s">
        <v>150</v>
      </c>
      <c r="D61" s="88">
        <f t="shared" si="2"/>
        <v>1</v>
      </c>
      <c r="E61" s="88">
        <f>IF(ISBLANK('Distribución de lactancia'!$D$2),1.37,(1.37-'Distribución de lactancia'!$D$2)/(1-'Distribución de lactancia'!$D$2))</f>
        <v>1.5292253242613623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149</v>
      </c>
      <c r="D62" s="88">
        <f t="shared" si="2"/>
        <v>1</v>
      </c>
      <c r="E62" s="88">
        <f>IF(ISBLANK('Distribución de lactancia'!$D$2),1.37,(1.37-'Distribución de lactancia'!$D$2)/(1-'Distribución de lactancia'!$D$2))</f>
        <v>1.5292253242613623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77</v>
      </c>
      <c r="C64" s="8" t="s">
        <v>150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149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75</v>
      </c>
      <c r="C67" s="8" t="s">
        <v>150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149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148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243</v>
      </c>
      <c r="B72" s="103" t="s">
        <v>104</v>
      </c>
      <c r="C72" s="8" t="s">
        <v>150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149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78</v>
      </c>
      <c r="C75" s="8" t="s">
        <v>150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149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74</v>
      </c>
      <c r="C78" s="8" t="s">
        <v>150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149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77</v>
      </c>
      <c r="C81" s="8" t="s">
        <v>150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149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75</v>
      </c>
      <c r="C84" s="8" t="s">
        <v>150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149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148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240</v>
      </c>
      <c r="B89" s="103" t="s">
        <v>104</v>
      </c>
      <c r="C89" s="8" t="s">
        <v>150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149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78</v>
      </c>
      <c r="C92" s="8" t="s">
        <v>150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149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74</v>
      </c>
      <c r="C95" s="8" t="s">
        <v>150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149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77</v>
      </c>
      <c r="C98" s="8" t="s">
        <v>150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149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75</v>
      </c>
      <c r="C101" s="8" t="s">
        <v>150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149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148</v>
      </c>
      <c r="C104" s="8" t="s">
        <v>155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ht="13" customHeight="1" x14ac:dyDescent="0.3">
      <c r="A108" s="4" t="s">
        <v>238</v>
      </c>
      <c r="B108" s="103" t="s">
        <v>104</v>
      </c>
      <c r="C108" s="8" t="s">
        <v>150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149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78</v>
      </c>
      <c r="C111" s="8" t="s">
        <v>150</v>
      </c>
      <c r="D111" s="88">
        <f>IF(ISBLANK('Distribución de lactancia'!$C$2),1.77,(1.77-'Distribución de lactancia'!$C$2)/(1-'Distribución de lactancia'!$C$2))</f>
        <v>3.1579840283417902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149</v>
      </c>
      <c r="D112" s="88">
        <f>IF(ISBLANK('Distribución de lactancia'!$C$2),1.77,(1.77-'Distribución de lactancia'!$C$2)/(1-'Distribución de lactancia'!$C$2))</f>
        <v>3.1579840283417902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74</v>
      </c>
      <c r="C114" s="8" t="s">
        <v>150</v>
      </c>
      <c r="D114" s="88">
        <f t="shared" si="12"/>
        <v>1</v>
      </c>
      <c r="E114" s="88">
        <f>IF(ISBLANK('Distribución de lactancia'!$D$2),1.77,(1.77-'Distribución de lactancia'!$D$2)/(1-'Distribución de lactancia'!$D$2))</f>
        <v>2.1013608099493215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149</v>
      </c>
      <c r="D115" s="88">
        <f t="shared" si="12"/>
        <v>1</v>
      </c>
      <c r="E115" s="88">
        <f>IF(ISBLANK('Distribución de lactancia'!$D$2),1.77,(1.77-'Distribución de lactancia'!$D$2)/(1-'Distribución de lactancia'!$D$2))</f>
        <v>2.1013608099493215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77</v>
      </c>
      <c r="C117" s="8" t="s">
        <v>150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149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75</v>
      </c>
      <c r="C120" s="8" t="s">
        <v>150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149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148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244</v>
      </c>
      <c r="B125" s="103" t="s">
        <v>104</v>
      </c>
      <c r="C125" s="8" t="s">
        <v>150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149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78</v>
      </c>
      <c r="C128" s="8" t="s">
        <v>150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149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74</v>
      </c>
      <c r="C131" s="8" t="s">
        <v>150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149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77</v>
      </c>
      <c r="C134" s="8" t="s">
        <v>150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149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75</v>
      </c>
      <c r="C137" s="8" t="s">
        <v>150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149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148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241</v>
      </c>
      <c r="B142" s="103" t="s">
        <v>104</v>
      </c>
      <c r="C142" s="8" t="s">
        <v>150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149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78</v>
      </c>
      <c r="C145" s="8" t="s">
        <v>150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149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74</v>
      </c>
      <c r="C148" s="8" t="s">
        <v>150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149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77</v>
      </c>
      <c r="C151" s="8" t="s">
        <v>150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149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75</v>
      </c>
      <c r="C154" s="8" t="s">
        <v>150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149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148</v>
      </c>
      <c r="C157" s="8" t="s">
        <v>155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k6eA/cs/GdxSEWgV+b6JkpTEv6QcbdnTKm9ah0bq0VqOTFIh2gLUhbxTRr/muHEAwRSWgaNUQjir9MxAEgsQuw==" saltValue="Osl+E5yLxB+sDqFpNco9Ew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13" sqref="C1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248</v>
      </c>
    </row>
    <row r="2" spans="1:6" ht="15.75" customHeight="1" x14ac:dyDescent="0.3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3">
      <c r="A3" s="4" t="s">
        <v>255</v>
      </c>
      <c r="B3" s="14"/>
      <c r="C3" s="71"/>
      <c r="D3" s="72"/>
      <c r="E3" s="72"/>
      <c r="F3" s="72"/>
    </row>
    <row r="4" spans="1:6" ht="15.75" customHeight="1" x14ac:dyDescent="0.25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261</v>
      </c>
      <c r="C11" s="74"/>
      <c r="D11" s="75"/>
      <c r="E11" s="75"/>
      <c r="F11" s="75"/>
    </row>
    <row r="12" spans="1:6" ht="15.75" customHeight="1" x14ac:dyDescent="0.3">
      <c r="A12" s="4" t="s">
        <v>249</v>
      </c>
      <c r="C12" s="73"/>
      <c r="D12" s="64"/>
      <c r="E12" s="64"/>
      <c r="F12" s="64"/>
    </row>
    <row r="13" spans="1:6" ht="15.75" customHeight="1" x14ac:dyDescent="0.25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5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97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95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91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248</v>
      </c>
    </row>
    <row r="29" spans="1:6" ht="15.75" customHeight="1" x14ac:dyDescent="0.3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3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5">
      <c r="B31" s="5" t="s">
        <v>27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63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10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11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253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3">
      <c r="A39" s="4" t="s">
        <v>250</v>
      </c>
      <c r="C39" s="73"/>
      <c r="D39" s="64"/>
      <c r="E39" s="64"/>
      <c r="F39" s="64"/>
    </row>
    <row r="40" spans="1:6" ht="15.75" customHeight="1" x14ac:dyDescent="0.25">
      <c r="B40" s="11" t="s">
        <v>265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246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262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5">
      <c r="B45" s="5" t="s">
        <v>93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97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95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91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96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98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92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94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248</v>
      </c>
    </row>
    <row r="56" spans="1:6" ht="15.75" customHeight="1" x14ac:dyDescent="0.3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63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10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11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254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3">
      <c r="A66" s="4" t="s">
        <v>251</v>
      </c>
      <c r="C66" s="73"/>
      <c r="D66" s="64"/>
      <c r="E66" s="64"/>
      <c r="F66" s="64"/>
    </row>
    <row r="67" spans="1:6" ht="15.75" customHeight="1" x14ac:dyDescent="0.25">
      <c r="B67" s="11" t="s">
        <v>266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247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263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5">
      <c r="B72" s="5" t="s">
        <v>93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97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95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91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96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98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92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94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0EPRPRgawuDi08CqxmLNuhlhfUzA/F3KggBjfHrp0sqMyoKTom8dEpaySZA5P2dHi/b8rvJRxsa8HMNIkFFQ0A==" saltValue="AIeopAGvP0kLRNVnaquq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278</v>
      </c>
    </row>
    <row r="2" spans="1:16" ht="13" customHeight="1" x14ac:dyDescent="0.3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279</v>
      </c>
    </row>
    <row r="29" spans="1:16" ht="13" customHeight="1" x14ac:dyDescent="0.3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276</v>
      </c>
    </row>
    <row r="56" spans="1:16" ht="26" customHeight="1" x14ac:dyDescent="0.3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277</v>
      </c>
    </row>
    <row r="65" spans="1:16" ht="26" customHeight="1" x14ac:dyDescent="0.3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93</v>
      </c>
      <c r="C66" s="3" t="s">
        <v>124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97</v>
      </c>
      <c r="C70" s="3" t="s">
        <v>124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95</v>
      </c>
      <c r="C74" s="3" t="s">
        <v>124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ht="13" customHeight="1" x14ac:dyDescent="0.3">
      <c r="A113" s="4"/>
      <c r="B113" s="8" t="s">
        <v>84</v>
      </c>
      <c r="C113" s="3" t="s">
        <v>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273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274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272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102</v>
      </c>
      <c r="C117" s="3" t="s">
        <v>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273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274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272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273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274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272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3</v>
      </c>
      <c r="C125" s="3" t="s">
        <v>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273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274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272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2</v>
      </c>
      <c r="C129" s="3" t="s">
        <v>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273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274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272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99</v>
      </c>
      <c r="C133" s="3" t="s">
        <v>7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273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274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272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ht="13" customHeight="1" x14ac:dyDescent="0.3">
      <c r="A140" s="4"/>
      <c r="B140" s="8" t="s">
        <v>84</v>
      </c>
      <c r="C140" s="3" t="s">
        <v>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273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6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207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102</v>
      </c>
      <c r="C144" s="3" t="s">
        <v>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273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6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207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273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6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207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3</v>
      </c>
      <c r="C152" s="3" t="s">
        <v>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273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6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207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2</v>
      </c>
      <c r="C156" s="3" t="s">
        <v>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273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6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207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99</v>
      </c>
      <c r="C160" s="3" t="s">
        <v>7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273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6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207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ht="13" customHeight="1" x14ac:dyDescent="0.3">
      <c r="A167" s="4"/>
      <c r="B167" s="8" t="s">
        <v>81</v>
      </c>
      <c r="C167" s="3" t="s">
        <v>275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268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89</v>
      </c>
      <c r="C169" s="3" t="s">
        <v>275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268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275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268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ht="13" customHeight="1" x14ac:dyDescent="0.3">
      <c r="A176" s="82"/>
      <c r="B176" s="8" t="s">
        <v>93</v>
      </c>
      <c r="C176" s="3" t="s">
        <v>124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127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126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125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97</v>
      </c>
      <c r="C180" s="3" t="s">
        <v>124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127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126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125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95</v>
      </c>
      <c r="C184" s="3" t="s">
        <v>124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127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126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125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96</v>
      </c>
      <c r="C188" s="3" t="s">
        <v>124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127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126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125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84</v>
      </c>
      <c r="C192" s="3" t="s">
        <v>124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127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126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125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102</v>
      </c>
      <c r="C196" s="3" t="s">
        <v>124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127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126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125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124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127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126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125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2</v>
      </c>
      <c r="C204" s="3" t="s">
        <v>124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127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126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125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101</v>
      </c>
      <c r="C208" s="3" t="s">
        <v>124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127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126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125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ht="13" customHeight="1" x14ac:dyDescent="0.3">
      <c r="A215" s="4"/>
      <c r="C215" s="3" t="s">
        <v>124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127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126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125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245</v>
      </c>
      <c r="H220" s="92"/>
    </row>
    <row r="221" spans="1:9" ht="13" customHeight="1" x14ac:dyDescent="0.3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ht="13" customHeight="1" x14ac:dyDescent="0.3">
      <c r="A223" s="4"/>
      <c r="B223" s="8" t="s">
        <v>84</v>
      </c>
      <c r="C223" s="3" t="s">
        <v>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273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274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272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102</v>
      </c>
      <c r="C227" s="3" t="s">
        <v>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273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274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272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273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274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272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3</v>
      </c>
      <c r="C235" s="3" t="s">
        <v>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273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274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272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2</v>
      </c>
      <c r="C239" s="3" t="s">
        <v>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273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274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272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99</v>
      </c>
      <c r="C243" s="3" t="s">
        <v>7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273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274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272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ht="13" customHeight="1" x14ac:dyDescent="0.3">
      <c r="A250" s="4"/>
      <c r="B250" s="8" t="s">
        <v>84</v>
      </c>
      <c r="C250" s="3" t="s">
        <v>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273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6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207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102</v>
      </c>
      <c r="C254" s="3" t="s">
        <v>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273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6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207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273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6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207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3</v>
      </c>
      <c r="C262" s="3" t="s">
        <v>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273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6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207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2</v>
      </c>
      <c r="C266" s="3" t="s">
        <v>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273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6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207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99</v>
      </c>
      <c r="C270" s="3" t="s">
        <v>7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273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6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207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ht="13" customHeight="1" x14ac:dyDescent="0.3">
      <c r="A277" s="4"/>
      <c r="B277" s="8" t="s">
        <v>81</v>
      </c>
      <c r="C277" s="3" t="s">
        <v>275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268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89</v>
      </c>
      <c r="C279" s="3" t="s">
        <v>275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268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275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268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ht="13" customHeight="1" x14ac:dyDescent="0.3">
      <c r="A286" s="82"/>
      <c r="B286" s="8" t="s">
        <v>93</v>
      </c>
      <c r="C286" s="3" t="s">
        <v>124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127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126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125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97</v>
      </c>
      <c r="C290" s="3" t="s">
        <v>124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127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126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125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95</v>
      </c>
      <c r="C294" s="3" t="s">
        <v>124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127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126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125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96</v>
      </c>
      <c r="C298" s="3" t="s">
        <v>124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127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126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125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84</v>
      </c>
      <c r="C302" s="3" t="s">
        <v>124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127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126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125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102</v>
      </c>
      <c r="C306" s="3" t="s">
        <v>124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127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126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125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124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127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126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125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2</v>
      </c>
      <c r="C314" s="3" t="s">
        <v>124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127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126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125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101</v>
      </c>
      <c r="C318" s="3" t="s">
        <v>124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127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126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125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ht="13" customHeight="1" x14ac:dyDescent="0.3">
      <c r="A325" s="4"/>
      <c r="C325" s="3" t="s">
        <v>124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127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126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125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bVHhfJajTppq1pazq1PqwJVnq04RuZFbS9bF1WY5SV0vDznA3fcGoEWjfqkwhU9IwY7pvhmj/wejy2qsYrT0YQ==" saltValue="0y3eXaAtO405zXe+lQflE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313</v>
      </c>
    </row>
    <row r="2" spans="1:7" ht="14.25" customHeight="1" x14ac:dyDescent="0.3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5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283</v>
      </c>
    </row>
    <row r="6" spans="1:7" ht="14.25" customHeight="1" x14ac:dyDescent="0.25">
      <c r="B6" s="5" t="s">
        <v>193</v>
      </c>
      <c r="C6" s="90">
        <v>1</v>
      </c>
      <c r="D6" s="90">
        <v>1</v>
      </c>
      <c r="E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0.62886430887282663</v>
      </c>
      <c r="F6" s="90">
        <f>IF(ISBLANK('Distribución estado nutricional'!$E$4),0.64, (0.64*SUM('Distribución estado nutricional'!$E$4:$E$5)/(1-0.64*SUM('Distribución estado nutricional'!$E$4:$E$5)))/ (SUM('Distribución estado nutricional'!$E$4:$E$5)/(1-SUM('Distribución estado nutricional'!$E$4:$E$5))))</f>
        <v>0.62886430887282663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0.87483624365450452</v>
      </c>
      <c r="F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0.87483624365450452</v>
      </c>
      <c r="G7" s="90">
        <v>1</v>
      </c>
    </row>
    <row r="8" spans="1:7" ht="14.25" customHeight="1" x14ac:dyDescent="0.25">
      <c r="B8" s="5" t="s">
        <v>204</v>
      </c>
      <c r="C8" s="90">
        <v>1</v>
      </c>
      <c r="D8" s="90">
        <v>1</v>
      </c>
      <c r="E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0.87483624365450452</v>
      </c>
      <c r="F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0.87483624365450452</v>
      </c>
      <c r="G8" s="90">
        <v>1</v>
      </c>
    </row>
    <row r="9" spans="1:7" ht="14.25" customHeight="1" x14ac:dyDescent="0.25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307</v>
      </c>
    </row>
    <row r="12" spans="1:7" ht="14.25" customHeight="1" x14ac:dyDescent="0.3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314</v>
      </c>
    </row>
    <row r="15" spans="1:7" ht="14.25" customHeight="1" x14ac:dyDescent="0.3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310</v>
      </c>
    </row>
    <row r="20" spans="1:7" s="14" customFormat="1" ht="14.25" customHeight="1" x14ac:dyDescent="0.3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5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313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5">
      <c r="B26" s="11" t="s">
        <v>301</v>
      </c>
      <c r="C26" s="90" t="s">
        <v>8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287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284</v>
      </c>
    </row>
    <row r="29" spans="1:7" x14ac:dyDescent="0.25">
      <c r="B29" s="5" t="s">
        <v>315</v>
      </c>
      <c r="C29" s="90">
        <f t="shared" ref="C29:D32" si="0">IF(C6=1,1,C6*0.9)</f>
        <v>1</v>
      </c>
      <c r="D29" s="90">
        <f t="shared" si="0"/>
        <v>1</v>
      </c>
      <c r="E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0.42820501204345074</v>
      </c>
      <c r="F29" s="90">
        <f>IF(ISBLANK('Distribución estado nutricional'!$E$4),0.44, (0.44*SUM('Distribución estado nutricional'!$E$4:$E$5)/(1-0.44*SUM('Distribución estado nutricional'!$E$4:$E$5)))/ (SUM('Distribución estado nutricional'!$E$4:$E$5)/(1-SUM('Distribución estado nutricional'!$E$4:$E$5))))</f>
        <v>0.42820501204345074</v>
      </c>
      <c r="G29" s="90">
        <f>IF(G6=1,1,G6*0.9)</f>
        <v>1</v>
      </c>
    </row>
    <row r="30" spans="1:7" x14ac:dyDescent="0.25">
      <c r="B30" s="5" t="s">
        <v>305</v>
      </c>
      <c r="C30" s="90">
        <f t="shared" si="0"/>
        <v>1</v>
      </c>
      <c r="D30" s="90">
        <f t="shared" si="0"/>
        <v>1</v>
      </c>
      <c r="E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0.84377448368778551</v>
      </c>
      <c r="F30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0.84377448368778551</v>
      </c>
      <c r="G30" s="90">
        <f>IF(G7=1,1,G7*0.9)</f>
        <v>1</v>
      </c>
    </row>
    <row r="31" spans="1:7" x14ac:dyDescent="0.25">
      <c r="B31" s="5" t="s">
        <v>319</v>
      </c>
      <c r="C31" s="90">
        <f t="shared" si="0"/>
        <v>1</v>
      </c>
      <c r="D31" s="90">
        <f t="shared" si="0"/>
        <v>1</v>
      </c>
      <c r="E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0.84377448368778551</v>
      </c>
      <c r="F31" s="90">
        <f>IF(ISBLANK('Distribución estado nutricional'!$E$4),0.85, (0.85*SUM('Distribución estado nutricional'!$E$4:$E$5)/(1-0.85*SUM('Distribución estado nutricional'!$E$4:$E$5)))/ (SUM('Distribución estado nutricional'!$E$4:$E$5)/(1-SUM('Distribución estado nutricional'!$E$4:$E$5))))</f>
        <v>0.84377448368778551</v>
      </c>
      <c r="G31" s="90">
        <f>IF(G8=1,1,G8*0.9)</f>
        <v>1</v>
      </c>
    </row>
    <row r="32" spans="1:7" x14ac:dyDescent="0.25">
      <c r="B32" s="5" t="s">
        <v>317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308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314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282</v>
      </c>
      <c r="B38" s="5" t="s">
        <v>295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105</v>
      </c>
      <c r="B40" s="11" t="s">
        <v>298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311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5">
      <c r="B44" s="11" t="s">
        <v>289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245</v>
      </c>
    </row>
    <row r="47" spans="1:7" ht="13" customHeight="1" x14ac:dyDescent="0.3">
      <c r="A47" s="67" t="s">
        <v>313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5">
      <c r="B49" s="11" t="s">
        <v>302</v>
      </c>
      <c r="C49" s="90" t="s">
        <v>8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288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285</v>
      </c>
    </row>
    <row r="52" spans="1:7" x14ac:dyDescent="0.25">
      <c r="B52" s="5" t="s">
        <v>316</v>
      </c>
      <c r="C52" s="90">
        <f t="shared" ref="C52:D55" si="3">IF(C6=1,1,C6*1.1)</f>
        <v>1</v>
      </c>
      <c r="D52" s="90">
        <f t="shared" si="3"/>
        <v>1</v>
      </c>
      <c r="E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0.91639396501448867</v>
      </c>
      <c r="F52" s="90">
        <f>IF(ISBLANK('Distribución estado nutricional'!$E$4),0.92, (0.92*SUM('Distribución estado nutricional'!$E$4:$E$5)/(1-0.92*SUM('Distribución estado nutricional'!$E$4:$E$5)))/ (SUM('Distribución estado nutricional'!$E$4:$E$5)/(1-SUM('Distribución estado nutricional'!$E$4:$E$5))))</f>
        <v>0.91639396501448867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0.90598927123599227</v>
      </c>
      <c r="F53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0.90598927123599227</v>
      </c>
      <c r="G53" s="90">
        <f>IF(G7=1,1,G7*1.1)</f>
        <v>1</v>
      </c>
    </row>
    <row r="54" spans="1:7" x14ac:dyDescent="0.25">
      <c r="B54" s="5" t="s">
        <v>320</v>
      </c>
      <c r="C54" s="90">
        <f t="shared" si="3"/>
        <v>1</v>
      </c>
      <c r="D54" s="90">
        <f t="shared" si="3"/>
        <v>1</v>
      </c>
      <c r="E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0.90598927123599227</v>
      </c>
      <c r="F54" s="90">
        <f>IF(ISBLANK('Distribución estado nutricional'!$E$4),0.91, (0.91*SUM('Distribución estado nutricional'!$E$4:$E$5)/(1-0.91*SUM('Distribución estado nutricional'!$E$4:$E$5)))/ (SUM('Distribución estado nutricional'!$E$4:$E$5)/(1-SUM('Distribución estado nutricional'!$E$4:$E$5))))</f>
        <v>0.90598927123599227</v>
      </c>
      <c r="G54" s="90">
        <f>IF(G8=1,1,G8*1.1)</f>
        <v>1</v>
      </c>
    </row>
    <row r="55" spans="1:7" x14ac:dyDescent="0.25">
      <c r="B55" s="5" t="s">
        <v>318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309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314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282</v>
      </c>
      <c r="B61" s="5" t="s">
        <v>296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293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105</v>
      </c>
      <c r="B63" s="11" t="s">
        <v>299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312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5">
      <c r="B67" s="11" t="s">
        <v>290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4jIbXlDx2trmFWG/uAx9RBJdUTgQa9W08NU4iypf3Aar5d7ThfhDRwp0yYu4s9zmtOOm3GH0aWYwaB77ncv/Ug==" saltValue="fz53fG+DvH/yHrQo87i2z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5">
      <c r="A2" s="5" t="s">
        <v>165</v>
      </c>
      <c r="B2" s="5" t="s">
        <v>322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178</v>
      </c>
      <c r="B4" s="5" t="s">
        <v>322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179</v>
      </c>
      <c r="B6" s="5" t="s">
        <v>322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191</v>
      </c>
      <c r="B12" s="5" t="s">
        <v>322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5">
      <c r="A17" s="5" t="s">
        <v>165</v>
      </c>
      <c r="B17" s="5" t="s">
        <v>322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178</v>
      </c>
      <c r="B19" s="5" t="s">
        <v>322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179</v>
      </c>
      <c r="B21" s="5" t="s">
        <v>322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180</v>
      </c>
      <c r="B23" s="5" t="s">
        <v>322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322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191</v>
      </c>
      <c r="B27" s="5" t="s">
        <v>322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245</v>
      </c>
    </row>
    <row r="31" spans="1:6" ht="15.75" customHeight="1" x14ac:dyDescent="0.3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5">
      <c r="A32" s="5" t="s">
        <v>165</v>
      </c>
      <c r="B32" s="5" t="s">
        <v>322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178</v>
      </c>
      <c r="B34" s="5" t="s">
        <v>322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179</v>
      </c>
      <c r="B36" s="5" t="s">
        <v>322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180</v>
      </c>
      <c r="B38" s="5" t="s">
        <v>322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322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191</v>
      </c>
      <c r="B42" s="5" t="s">
        <v>322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yAqJaE731yGjm01SiI/Wpu+3850amWzKz8DCwrkbalooBRUWvVuDOjZCJb6BW2GC517A366r8meRKPzYZ9GDww==" saltValue="1cCfM5fGd2x7Ew/IqXhkW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ht="13" customHeight="1" x14ac:dyDescent="0.3">
      <c r="A2" s="4" t="s">
        <v>326</v>
      </c>
    </row>
    <row r="3" spans="1:15" x14ac:dyDescent="0.25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204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171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172</v>
      </c>
      <c r="C19" s="90">
        <v>1</v>
      </c>
      <c r="D19" s="90">
        <v>1</v>
      </c>
      <c r="E19" s="90">
        <f>IF(ISBLANK('Distribución estado nutricional'!E$14),0.72,(0.72*'Distribución estado nutricional'!E$14/(1-0.72*'Distribución estado nutricional'!E$14))
/ ('Distribución estado nutricional'!E$14/(1-'Distribución estado nutricional'!E$14)))</f>
        <v>0.63240082582395762</v>
      </c>
      <c r="F19" s="90">
        <f>IF(ISBLANK('Distribución estado nutricional'!F$14),0.72,(0.72*'Distribución estado nutricional'!F$14/(1-0.72*'Distribución estado nutricional'!F$14))
/ ('Distribución estado nutricional'!F$14/(1-'Distribución estado nutricional'!F$14)))</f>
        <v>0.65729629813264623</v>
      </c>
      <c r="G19" s="90">
        <f>IF(ISBLANK('Distribución estado nutricional'!G$14),0.72,(0.72*'Distribución estado nutricional'!G$14/(1-0.72*'Distribución estado nutricional'!G$14))
/ ('Distribución estado nutricional'!G$14/(1-'Distribución estado nutricional'!G$14)))</f>
        <v>0.65729629813264623</v>
      </c>
      <c r="H19" s="90">
        <f>IF(ISBLANK('Distribución estado nutricional'!H$14),0.72,(0.72*'Distribución estado nutricional'!H$14/(1-0.72*'Distribución estado nutricional'!H$14))
/ ('Distribución estado nutricional'!H$14/(1-'Distribución estado nutricional'!H$14)))</f>
        <v>0.63377628963063726</v>
      </c>
      <c r="I19" s="90">
        <f>IF(ISBLANK('Distribución estado nutricional'!I$14),0.72,(0.72*'Distribución estado nutricional'!I$14/(1-0.72*'Distribución estado nutricional'!I$14))
/ ('Distribución estado nutricional'!I$14/(1-'Distribución estado nutricional'!I$14)))</f>
        <v>0.63377628963063726</v>
      </c>
      <c r="J19" s="90">
        <f>IF(ISBLANK('Distribución estado nutricional'!J$14),0.72,(0.72*'Distribución estado nutricional'!J$14/(1-0.72*'Distribución estado nutricional'!J$14))
/ ('Distribución estado nutricional'!J$14/(1-'Distribución estado nutricional'!J$14)))</f>
        <v>0.63377628963063726</v>
      </c>
      <c r="K19" s="90">
        <f>IF(ISBLANK('Distribución estado nutricional'!K$14),0.72,(0.72*'Distribución estado nutricional'!K$14/(1-0.72*'Distribución estado nutricional'!K$14))
/ ('Distribución estado nutricional'!K$14/(1-'Distribución estado nutricional'!K$14)))</f>
        <v>0.63377628963063726</v>
      </c>
      <c r="L19" s="90">
        <f>IF(ISBLANK('Distribución estado nutricional'!L$14),0.72,(0.72*'Distribución estado nutricional'!L$14/(1-0.72*'Distribución estado nutricional'!L$14))
/ ('Distribución estado nutricional'!L$14/(1-'Distribución estado nutricional'!L$14)))</f>
        <v>0.66644429619746504</v>
      </c>
      <c r="M19" s="90">
        <f>IF(ISBLANK('Distribución estado nutricional'!M$14),0.72,(0.72*'Distribución estado nutricional'!M$14/(1-0.72*'Distribución estado nutricional'!M$14))
/ ('Distribución estado nutricional'!M$14/(1-'Distribución estado nutricional'!M$14)))</f>
        <v>0.66644429619746504</v>
      </c>
      <c r="N19" s="90">
        <f>IF(ISBLANK('Distribución estado nutricional'!N$14),0.72,(0.72*'Distribución estado nutricional'!N$14/(1-0.72*'Distribución estado nutricional'!N$14))
/ ('Distribución estado nutricional'!N$14/(1-'Distribución estado nutricional'!N$14)))</f>
        <v>0.66644429619746504</v>
      </c>
      <c r="O19" s="90">
        <f>IF(ISBLANK('Distribución estado nutricional'!O$14),0.72,(0.72*'Distribución estado nutricional'!O$14/(1-0.72*'Distribución estado nutricional'!O$14))
/ ('Distribución estado nutricional'!O$14/(1-'Distribución estado nutricional'!O$14)))</f>
        <v>0.66644429619746504</v>
      </c>
    </row>
    <row r="20" spans="1:15" x14ac:dyDescent="0.25">
      <c r="B20" s="5" t="s">
        <v>173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181</v>
      </c>
      <c r="C21" s="90">
        <v>1</v>
      </c>
      <c r="D21" s="90">
        <v>1</v>
      </c>
      <c r="E21" s="90">
        <f>IF(ISBLANK('Distribución estado nutricional'!E$14),0.8,(0.8*'Distribución estado nutricional'!E$14/(1-0.8*'Distribución estado nutricional'!E$14))
/ ('Distribución estado nutricional'!E$14/(1-'Distribución estado nutricional'!E$14)))</f>
        <v>0.72797307643869202</v>
      </c>
      <c r="F21" s="90">
        <f>IF(ISBLANK('Distribución estado nutricional'!F$14),0.8,(0.8*'Distribución estado nutricional'!F$14/(1-0.8*'Distribución estado nutricional'!F$14))
/ ('Distribución estado nutricional'!F$14/(1-'Distribución estado nutricional'!F$14)))</f>
        <v>0.74896529009138735</v>
      </c>
      <c r="G21" s="90">
        <f>IF(ISBLANK('Distribución estado nutricional'!G$14),0.8,(0.8*'Distribución estado nutricional'!G$14/(1-0.8*'Distribución estado nutricional'!G$14))
/ ('Distribución estado nutricional'!G$14/(1-'Distribución estado nutricional'!G$14)))</f>
        <v>0.74896529009138735</v>
      </c>
      <c r="H21" s="90">
        <f>IF(ISBLANK('Distribución estado nutricional'!H$14),0.8,(0.8*'Distribución estado nutricional'!H$14/(1-0.8*'Distribución estado nutricional'!H$14))
/ ('Distribución estado nutricional'!H$14/(1-'Distribución estado nutricional'!H$14)))</f>
        <v>0.72914409534127855</v>
      </c>
      <c r="I21" s="90">
        <f>IF(ISBLANK('Distribución estado nutricional'!I$14),0.8,(0.8*'Distribución estado nutricional'!I$14/(1-0.8*'Distribución estado nutricional'!I$14))
/ ('Distribución estado nutricional'!I$14/(1-'Distribución estado nutricional'!I$14)))</f>
        <v>0.72914409534127855</v>
      </c>
      <c r="J21" s="90">
        <f>IF(ISBLANK('Distribución estado nutricional'!J$14),0.8,(0.8*'Distribución estado nutricional'!J$14/(1-0.8*'Distribución estado nutricional'!J$14))
/ ('Distribución estado nutricional'!J$14/(1-'Distribución estado nutricional'!J$14)))</f>
        <v>0.72914409534127855</v>
      </c>
      <c r="K21" s="90">
        <f>IF(ISBLANK('Distribución estado nutricional'!K$14),0.8,(0.8*'Distribución estado nutricional'!K$14/(1-0.8*'Distribución estado nutricional'!K$14))
/ ('Distribución estado nutricional'!K$14/(1-'Distribución estado nutricional'!K$14)))</f>
        <v>0.72914409534127855</v>
      </c>
      <c r="L21" s="90">
        <f>IF(ISBLANK('Distribución estado nutricional'!L$14),0.8,(0.8*'Distribución estado nutricional'!L$14/(1-0.8*'Distribución estado nutricional'!L$14))
/ ('Distribución estado nutricional'!L$14/(1-'Distribución estado nutricional'!L$14)))</f>
        <v>0.75657254138266794</v>
      </c>
      <c r="M21" s="90">
        <f>IF(ISBLANK('Distribución estado nutricional'!M$14),0.8,(0.8*'Distribución estado nutricional'!M$14/(1-0.8*'Distribución estado nutricional'!M$14))
/ ('Distribución estado nutricional'!M$14/(1-'Distribución estado nutricional'!M$14)))</f>
        <v>0.75657254138266794</v>
      </c>
      <c r="N21" s="90">
        <f>IF(ISBLANK('Distribución estado nutricional'!N$14),0.8,(0.8*'Distribución estado nutricional'!N$14/(1-0.8*'Distribución estado nutricional'!N$14))
/ ('Distribución estado nutricional'!N$14/(1-'Distribución estado nutricional'!N$14)))</f>
        <v>0.75657254138266794</v>
      </c>
      <c r="O21" s="90">
        <f>IF(ISBLANK('Distribución estado nutricional'!O$14),0.8,(0.8*'Distribución estado nutricional'!O$14/(1-0.8*'Distribución estado nutricional'!O$14))
/ ('Distribución estado nutricional'!O$14/(1-'Distribución estado nutricional'!O$14)))</f>
        <v>0.75657254138266794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ht="13" customHeight="1" x14ac:dyDescent="0.3">
      <c r="A25" s="4" t="s">
        <v>327</v>
      </c>
    </row>
    <row r="26" spans="1:15" x14ac:dyDescent="0.25">
      <c r="B26" s="11" t="s">
        <v>169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174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175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176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177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178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179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180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190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191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204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324</v>
      </c>
      <c r="B40" s="11"/>
    </row>
    <row r="41" spans="1:15" x14ac:dyDescent="0.25">
      <c r="B41" s="5" t="s">
        <v>171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172</v>
      </c>
      <c r="C42" s="90">
        <f t="shared" ref="C42:D44" si="14">IF(C19=1,1,C19*0.9)</f>
        <v>1</v>
      </c>
      <c r="D42" s="90">
        <f t="shared" si="14"/>
        <v>1</v>
      </c>
      <c r="E42" s="90">
        <f>IF(ISBLANK('Distribución estado nutricional'!E$14),0.54,(0.54*'Distribución estado nutricional'!E$14/(1-0.54*'Distribución estado nutricional'!E$14))
/ ('Distribución estado nutricional'!E$14/(1-'Distribución estado nutricional'!E$14)))</f>
        <v>0.43989487990050941</v>
      </c>
      <c r="F42" s="90">
        <f>IF(ISBLANK('Distribución estado nutricional'!F$14),0.54,(0.54*'Distribución estado nutricional'!F$14/(1-0.54*'Distribución estado nutricional'!F$14))
/ ('Distribución estado nutricional'!F$14/(1-'Distribución estado nutricional'!F$14)))</f>
        <v>0.46683619029827567</v>
      </c>
      <c r="G42" s="90">
        <f>IF(ISBLANK('Distribución estado nutricional'!G$14),0.54,(0.54*'Distribución estado nutricional'!G$14/(1-0.54*'Distribución estado nutricional'!G$14))
/ ('Distribución estado nutricional'!G$14/(1-'Distribución estado nutricional'!G$14)))</f>
        <v>0.46683619029827567</v>
      </c>
      <c r="H42" s="90">
        <f>IF(ISBLANK('Distribución estado nutricional'!H$14),0.54,(0.54*'Distribución estado nutricional'!H$14/(1-0.54*'Distribución estado nutricional'!H$14))
/ ('Distribución estado nutricional'!H$14/(1-'Distribución estado nutricional'!H$14)))</f>
        <v>0.44135435136382406</v>
      </c>
      <c r="I42" s="90">
        <f>IF(ISBLANK('Distribución estado nutricional'!I$14),0.54,(0.54*'Distribución estado nutricional'!I$14/(1-0.54*'Distribución estado nutricional'!I$14))
/ ('Distribución estado nutricional'!I$14/(1-'Distribución estado nutricional'!I$14)))</f>
        <v>0.44135435136382406</v>
      </c>
      <c r="J42" s="90">
        <f>IF(ISBLANK('Distribución estado nutricional'!J$14),0.54,(0.54*'Distribución estado nutricional'!J$14/(1-0.54*'Distribución estado nutricional'!J$14))
/ ('Distribución estado nutricional'!J$14/(1-'Distribución estado nutricional'!J$14)))</f>
        <v>0.44135435136382406</v>
      </c>
      <c r="K42" s="90">
        <f>IF(ISBLANK('Distribución estado nutricional'!K$14),0.54,(0.54*'Distribución estado nutricional'!K$14/(1-0.54*'Distribución estado nutricional'!K$14))
/ ('Distribución estado nutricional'!K$14/(1-'Distribución estado nutricional'!K$14)))</f>
        <v>0.44135435136382406</v>
      </c>
      <c r="L42" s="90">
        <f>IF(ISBLANK('Distribución estado nutricional'!L$14),0.54,(0.54*'Distribución estado nutricional'!L$14/(1-0.54*'Distribución estado nutricional'!L$14))
/ ('Distribución estado nutricional'!L$14/(1-'Distribución estado nutricional'!L$14)))</f>
        <v>0.47702312467313945</v>
      </c>
      <c r="M42" s="90">
        <f>IF(ISBLANK('Distribución estado nutricional'!M$14),0.54,(0.54*'Distribución estado nutricional'!M$14/(1-0.54*'Distribución estado nutricional'!M$14))
/ ('Distribución estado nutricional'!M$14/(1-'Distribución estado nutricional'!M$14)))</f>
        <v>0.47702312467313945</v>
      </c>
      <c r="N42" s="90">
        <f>IF(ISBLANK('Distribución estado nutricional'!N$14),0.54,(0.54*'Distribución estado nutricional'!N$14/(1-0.54*'Distribución estado nutricional'!N$14))
/ ('Distribución estado nutricional'!N$14/(1-'Distribución estado nutricional'!N$14)))</f>
        <v>0.47702312467313945</v>
      </c>
      <c r="O42" s="90">
        <f>IF(ISBLANK('Distribución estado nutricional'!O$14),0.54,(0.54*'Distribución estado nutricional'!O$14/(1-0.54*'Distribución estado nutricional'!O$14))
/ ('Distribución estado nutricional'!O$14/(1-'Distribución estado nutricional'!O$14)))</f>
        <v>0.47702312467313945</v>
      </c>
    </row>
    <row r="43" spans="1:15" x14ac:dyDescent="0.25">
      <c r="B43" s="5" t="s">
        <v>173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181</v>
      </c>
      <c r="C44" s="90">
        <f t="shared" si="14"/>
        <v>1</v>
      </c>
      <c r="D44" s="90">
        <f t="shared" si="14"/>
        <v>1</v>
      </c>
      <c r="E44" s="90">
        <f>IF(ISBLANK('Distribución estado nutricional'!E$14),0.7,(0.7*'Distribución estado nutricional'!E$14/(1-0.7*'Distribución estado nutricional'!E$14))
/ ('Distribución estado nutricional'!E$14/(1-'Distribución estado nutricional'!E$14)))</f>
        <v>0.60953701920266901</v>
      </c>
      <c r="F44" s="90">
        <f>IF(ISBLANK('Distribución estado nutricional'!F$14),0.7,(0.7*'Distribución estado nutricional'!F$14/(1-0.7*'Distribución estado nutricional'!F$14))
/ ('Distribución estado nutricional'!F$14/(1-'Distribución estado nutricional'!F$14)))</f>
        <v>0.63508743931009259</v>
      </c>
      <c r="G44" s="90">
        <f>IF(ISBLANK('Distribución estado nutricional'!G$14),0.7,(0.7*'Distribución estado nutricional'!G$14/(1-0.7*'Distribución estado nutricional'!G$14))
/ ('Distribución estado nutricional'!G$14/(1-'Distribución estado nutricional'!G$14)))</f>
        <v>0.63508743931009259</v>
      </c>
      <c r="H44" s="90">
        <f>IF(ISBLANK('Distribución estado nutricional'!H$14),0.7,(0.7*'Distribución estado nutricional'!H$14/(1-0.7*'Distribución estado nutricional'!H$14))
/ ('Distribución estado nutricional'!H$14/(1-'Distribución estado nutricional'!H$14)))</f>
        <v>0.61094540267150821</v>
      </c>
      <c r="I44" s="90">
        <f>IF(ISBLANK('Distribución estado nutricional'!I$14),0.7,(0.7*'Distribución estado nutricional'!I$14/(1-0.7*'Distribución estado nutricional'!I$14))
/ ('Distribución estado nutricional'!I$14/(1-'Distribución estado nutricional'!I$14)))</f>
        <v>0.61094540267150821</v>
      </c>
      <c r="J44" s="90">
        <f>IF(ISBLANK('Distribución estado nutricional'!J$14),0.7,(0.7*'Distribución estado nutricional'!J$14/(1-0.7*'Distribución estado nutricional'!J$14))
/ ('Distribución estado nutricional'!J$14/(1-'Distribución estado nutricional'!J$14)))</f>
        <v>0.61094540267150821</v>
      </c>
      <c r="K44" s="90">
        <f>IF(ISBLANK('Distribución estado nutricional'!K$14),0.7,(0.7*'Distribución estado nutricional'!K$14/(1-0.7*'Distribución estado nutricional'!K$14))
/ ('Distribución estado nutricional'!K$14/(1-'Distribución estado nutricional'!K$14)))</f>
        <v>0.61094540267150821</v>
      </c>
      <c r="L44" s="90">
        <f>IF(ISBLANK('Distribución estado nutricional'!L$14),0.7,(0.7*'Distribución estado nutricional'!L$14/(1-0.7*'Distribución estado nutricional'!L$14))
/ ('Distribución estado nutricional'!L$14/(1-'Distribución estado nutricional'!L$14)))</f>
        <v>0.64450764308567365</v>
      </c>
      <c r="M44" s="90">
        <f>IF(ISBLANK('Distribución estado nutricional'!M$14),0.7,(0.7*'Distribución estado nutricional'!M$14/(1-0.7*'Distribución estado nutricional'!M$14))
/ ('Distribución estado nutricional'!M$14/(1-'Distribución estado nutricional'!M$14)))</f>
        <v>0.64450764308567365</v>
      </c>
      <c r="N44" s="90">
        <f>IF(ISBLANK('Distribución estado nutricional'!N$14),0.7,(0.7*'Distribución estado nutricional'!N$14/(1-0.7*'Distribución estado nutricional'!N$14))
/ ('Distribución estado nutricional'!N$14/(1-'Distribución estado nutricional'!N$14)))</f>
        <v>0.64450764308567365</v>
      </c>
      <c r="O44" s="90">
        <f>IF(ISBLANK('Distribución estado nutricional'!O$14),0.7,(0.7*'Distribución estado nutricional'!O$14/(1-0.7*'Distribución estado nutricional'!O$14))
/ ('Distribución estado nutricional'!O$14/(1-'Distribución estado nutricional'!O$14)))</f>
        <v>0.64450764308567365</v>
      </c>
    </row>
    <row r="46" spans="1:15" s="92" customFormat="1" ht="13" customHeight="1" x14ac:dyDescent="0.3">
      <c r="A46" s="92" t="s">
        <v>245</v>
      </c>
    </row>
    <row r="47" spans="1:15" ht="26" customHeight="1" x14ac:dyDescent="0.3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ht="13" customHeight="1" x14ac:dyDescent="0.3">
      <c r="A48" s="4" t="s">
        <v>328</v>
      </c>
    </row>
    <row r="49" spans="1:15" x14ac:dyDescent="0.25">
      <c r="B49" s="11" t="s">
        <v>169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174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175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176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177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178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179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180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190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191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204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325</v>
      </c>
      <c r="B63" s="11"/>
    </row>
    <row r="64" spans="1:15" x14ac:dyDescent="0.25">
      <c r="B64" s="5" t="s">
        <v>171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172</v>
      </c>
      <c r="C65" s="90">
        <f t="shared" ref="C65:D67" si="30">IF(C19=1,1,C19*1.05)</f>
        <v>1</v>
      </c>
      <c r="D65" s="90">
        <f t="shared" si="30"/>
        <v>1</v>
      </c>
      <c r="E65" s="90">
        <f>IF(ISBLANK('Distribución estado nutricional'!E$14),0.97,(0.97*'Distribución estado nutricional'!E$14/(1-0.97*'Distribución estado nutricional'!E$14))
/ ('Distribución estado nutricional'!E$14/(1-'Distribución estado nutricional'!E$14)))</f>
        <v>0.95581450729080175</v>
      </c>
      <c r="F65" s="90">
        <f>IF(ISBLANK('Distribución estado nutricional'!F$14),0.97,(0.97*'Distribución estado nutricional'!F$14/(1-0.97*'Distribución estado nutricional'!F$14))
/ ('Distribución estado nutricional'!F$14/(1-'Distribución estado nutricional'!F$14)))</f>
        <v>0.96018589857756953</v>
      </c>
      <c r="G65" s="90">
        <f>IF(ISBLANK('Distribución estado nutricional'!G$14),0.97,(0.97*'Distribución estado nutricional'!G$14/(1-0.97*'Distribución estado nutricional'!G$14))
/ ('Distribución estado nutricional'!G$14/(1-'Distribución estado nutricional'!G$14)))</f>
        <v>0.96018589857756953</v>
      </c>
      <c r="H65" s="90">
        <f>IF(ISBLANK('Distribución estado nutricional'!H$14),0.97,(0.97*'Distribución estado nutricional'!H$14/(1-0.97*'Distribución estado nutricional'!H$14))
/ ('Distribución estado nutricional'!H$14/(1-'Distribución estado nutricional'!H$14)))</f>
        <v>0.95606391236215071</v>
      </c>
      <c r="I65" s="90">
        <f>IF(ISBLANK('Distribución estado nutricional'!I$14),0.97,(0.97*'Distribución estado nutricional'!I$14/(1-0.97*'Distribución estado nutricional'!I$14))
/ ('Distribución estado nutricional'!I$14/(1-'Distribución estado nutricional'!I$14)))</f>
        <v>0.95606391236215071</v>
      </c>
      <c r="J65" s="90">
        <f>IF(ISBLANK('Distribución estado nutricional'!J$14),0.97,(0.97*'Distribución estado nutricional'!J$14/(1-0.97*'Distribución estado nutricional'!J$14))
/ ('Distribución estado nutricional'!J$14/(1-'Distribución estado nutricional'!J$14)))</f>
        <v>0.95606391236215071</v>
      </c>
      <c r="K65" s="90">
        <f>IF(ISBLANK('Distribución estado nutricional'!K$14),0.97,(0.97*'Distribución estado nutricional'!K$14/(1-0.97*'Distribución estado nutricional'!K$14))
/ ('Distribución estado nutricional'!K$14/(1-'Distribución estado nutricional'!K$14)))</f>
        <v>0.95606391236215071</v>
      </c>
      <c r="L65" s="90">
        <f>IF(ISBLANK('Distribución estado nutricional'!L$14),0.97,(0.97*'Distribución estado nutricional'!L$14/(1-0.97*'Distribución estado nutricional'!L$14))
/ ('Distribución estado nutricional'!L$14/(1-'Distribución estado nutricional'!L$14)))</f>
        <v>0.96171955747808446</v>
      </c>
      <c r="M65" s="90">
        <f>IF(ISBLANK('Distribución estado nutricional'!M$14),0.97,(0.97*'Distribución estado nutricional'!M$14/(1-0.97*'Distribución estado nutricional'!M$14))
/ ('Distribución estado nutricional'!M$14/(1-'Distribución estado nutricional'!M$14)))</f>
        <v>0.96171955747808446</v>
      </c>
      <c r="N65" s="90">
        <f>IF(ISBLANK('Distribución estado nutricional'!N$14),0.97,(0.97*'Distribución estado nutricional'!N$14/(1-0.97*'Distribución estado nutricional'!N$14))
/ ('Distribución estado nutricional'!N$14/(1-'Distribución estado nutricional'!N$14)))</f>
        <v>0.96171955747808446</v>
      </c>
      <c r="O65" s="90">
        <f>IF(ISBLANK('Distribución estado nutricional'!O$14),0.97,(0.97*'Distribución estado nutricional'!O$14/(1-0.97*'Distribución estado nutricional'!O$14))
/ ('Distribución estado nutricional'!O$14/(1-'Distribución estado nutricional'!O$14)))</f>
        <v>0.96171955747808446</v>
      </c>
    </row>
    <row r="66" spans="2:15" x14ac:dyDescent="0.25">
      <c r="B66" s="5" t="s">
        <v>173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181</v>
      </c>
      <c r="C67" s="90">
        <f t="shared" si="30"/>
        <v>1</v>
      </c>
      <c r="D67" s="90">
        <f t="shared" si="30"/>
        <v>1</v>
      </c>
      <c r="E67" s="90">
        <f>IF(ISBLANK('Distribución estado nutricional'!E$14),0.92,(0.92*'Distribución estado nutricional'!E$14/(1-0.92*'Distribución estado nutricional'!E$14))
/ ('Distribución estado nutricional'!E$14/(1-'Distribución estado nutricional'!E$14)))</f>
        <v>0.88497558977315682</v>
      </c>
      <c r="F67" s="90">
        <f>IF(ISBLANK('Distribución estado nutricional'!F$14),0.92,(0.92*'Distribución estado nutricional'!F$14/(1-0.92*'Distribución estado nutricional'!F$14))
/ ('Distribución estado nutricional'!F$14/(1-'Distribución estado nutricional'!F$14)))</f>
        <v>0.89558970416707562</v>
      </c>
      <c r="G67" s="90">
        <f>IF(ISBLANK('Distribución estado nutricional'!G$14),0.92,(0.92*'Distribución estado nutricional'!G$14/(1-0.92*'Distribución estado nutricional'!G$14))
/ ('Distribución estado nutricional'!G$14/(1-'Distribución estado nutricional'!G$14)))</f>
        <v>0.89558970416707562</v>
      </c>
      <c r="H67" s="90">
        <f>IF(ISBLANK('Distribución estado nutricional'!H$14),0.92,(0.92*'Distribución estado nutricional'!H$14/(1-0.92*'Distribución estado nutricional'!H$14))
/ ('Distribución estado nutricional'!H$14/(1-'Distribución estado nutricional'!H$14)))</f>
        <v>0.88557697808799141</v>
      </c>
      <c r="I67" s="90">
        <f>IF(ISBLANK('Distribución estado nutricional'!I$14),0.92,(0.92*'Distribución estado nutricional'!I$14/(1-0.92*'Distribución estado nutricional'!I$14))
/ ('Distribución estado nutricional'!I$14/(1-'Distribución estado nutricional'!I$14)))</f>
        <v>0.88557697808799141</v>
      </c>
      <c r="J67" s="90">
        <f>IF(ISBLANK('Distribución estado nutricional'!J$14),0.92,(0.92*'Distribución estado nutricional'!J$14/(1-0.92*'Distribución estado nutricional'!J$14))
/ ('Distribución estado nutricional'!J$14/(1-'Distribución estado nutricional'!J$14)))</f>
        <v>0.88557697808799141</v>
      </c>
      <c r="K67" s="90">
        <f>IF(ISBLANK('Distribución estado nutricional'!K$14),0.92,(0.92*'Distribución estado nutricional'!K$14/(1-0.92*'Distribución estado nutricional'!K$14))
/ ('Distribución estado nutricional'!K$14/(1-'Distribución estado nutricional'!K$14)))</f>
        <v>0.88557697808799141</v>
      </c>
      <c r="L67" s="90">
        <f>IF(ISBLANK('Distribución estado nutricional'!L$14),0.92,(0.92*'Distribución estado nutricional'!L$14/(1-0.92*'Distribución estado nutricional'!L$14))
/ ('Distribución estado nutricional'!L$14/(1-'Distribución estado nutricional'!L$14)))</f>
        <v>0.89935081274218709</v>
      </c>
      <c r="M67" s="90">
        <f>IF(ISBLANK('Distribución estado nutricional'!M$14),0.92,(0.92*'Distribución estado nutricional'!M$14/(1-0.92*'Distribución estado nutricional'!M$14))
/ ('Distribución estado nutricional'!M$14/(1-'Distribución estado nutricional'!M$14)))</f>
        <v>0.89935081274218709</v>
      </c>
      <c r="N67" s="90">
        <f>IF(ISBLANK('Distribución estado nutricional'!N$14),0.92,(0.92*'Distribución estado nutricional'!N$14/(1-0.92*'Distribución estado nutricional'!N$14))
/ ('Distribución estado nutricional'!N$14/(1-'Distribución estado nutricional'!N$14)))</f>
        <v>0.89935081274218709</v>
      </c>
      <c r="O67" s="90">
        <f>IF(ISBLANK('Distribución estado nutricional'!O$14),0.92,(0.92*'Distribución estado nutricional'!O$14/(1-0.92*'Distribución estado nutricional'!O$14))
/ ('Distribución estado nutricional'!O$14/(1-'Distribución estado nutricional'!O$14)))</f>
        <v>0.89935081274218709</v>
      </c>
    </row>
  </sheetData>
  <sheetProtection algorithmName="SHA-512" hashValue="Kwv/4fVmf7UvUIhJbOYCqbydtn8VeuM+sjMWFL8WJvl1uXmmu9sp7RUxo78kN8KVRF3vUZoawx7L898fRH/H4A==" saltValue="7S7vwiyJYQYhxJoUu7PAc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ht="13" customHeight="1" x14ac:dyDescent="0.3">
      <c r="A2" s="4" t="s">
        <v>333</v>
      </c>
    </row>
    <row r="3" spans="1:7" x14ac:dyDescent="0.25">
      <c r="B3" s="11" t="s">
        <v>164</v>
      </c>
      <c r="C3" s="90">
        <v>1</v>
      </c>
      <c r="D3" s="90">
        <f>IF(ISBLANK('Distribución estado nutricional'!D$11),0.86,(0.86*'Distribución estado nutricional'!D$11/(1-0.86*'Distribución estado nutricional'!D$11))
/ ('Distribución estado nutricional'!D$11/(1-'Distribución estado nutricional'!D$11)))</f>
        <v>0.8571308701079009</v>
      </c>
      <c r="E3" s="90" t="e">
        <f>IF(ISBLANK('Distribución estado nutricional'!E$11),0.86,(0.86*'Distribución estado nutricional'!E$11/(1-0.86*'Distribución estado nutricional'!E$11))
/ ('Distribución estado nutricional'!E$11/(1-'Distribución estado nutricional'!E$11)))</f>
        <v>#DIV/0!</v>
      </c>
      <c r="F3" s="90">
        <f>IF(ISBLANK('Distribución estado nutricional'!F$11),0.86,(0.86*'Distribución estado nutricional'!F$11/(1-0.86*'Distribución estado nutricional'!F$11))
/ ('Distribución estado nutricional'!F$11/(1-'Distribución estado nutricional'!F$11)))</f>
        <v>0.85970516236616101</v>
      </c>
      <c r="G3" s="90">
        <f>IF(ISBLANK('Distribución estado nutricional'!G$11),0.86,(0.86*'Distribución estado nutricional'!G$11/(1-0.86*'Distribución estado nutricional'!G$11))
/ ('Distribución estado nutricional'!G$11/(1-'Distribución estado nutricional'!G$11)))</f>
        <v>0.85981678861158106</v>
      </c>
    </row>
    <row r="4" spans="1:7" ht="13" customHeight="1" x14ac:dyDescent="0.3">
      <c r="A4" s="4" t="s">
        <v>330</v>
      </c>
      <c r="B4" s="11"/>
      <c r="C4" s="83"/>
      <c r="D4" s="83"/>
      <c r="E4" s="83"/>
      <c r="F4" s="83"/>
      <c r="G4" s="83"/>
    </row>
    <row r="5" spans="1:7" x14ac:dyDescent="0.25">
      <c r="B5" s="5" t="s">
        <v>162</v>
      </c>
      <c r="C5" s="90">
        <v>1</v>
      </c>
      <c r="D5" s="90">
        <f>IF(ISBLANK('Distribución estado nutricional'!D$10),0.86,(0.86*'Distribución estado nutricional'!D$10/(1-0.86*'Distribución estado nutricional'!D$10))
/ ('Distribución estado nutricional'!D$10/(1-'Distribución estado nutricional'!D$10)))</f>
        <v>0.85673237307913386</v>
      </c>
      <c r="E5" s="90">
        <f>IF(ISBLANK('Distribución estado nutricional'!E$10),0.86,(0.86*'Distribución estado nutricional'!E$10/(1-0.86*'Distribución estado nutricional'!E$10))
/ ('Distribución estado nutricional'!E$10/(1-'Distribución estado nutricional'!E$10)))</f>
        <v>0.85972392627467131</v>
      </c>
      <c r="F5" s="90">
        <f>IF(ISBLANK('Distribución estado nutricional'!F$10),0.86,(0.86*'Distribución estado nutricional'!F$10/(1-0.86*'Distribución estado nutricional'!F$10))
/ ('Distribución estado nutricional'!F$10/(1-'Distribución estado nutricional'!F$10)))</f>
        <v>0.85938602143205778</v>
      </c>
      <c r="G5" s="90">
        <f>IF(ISBLANK('Distribución estado nutricional'!G$10),0.86,(0.86*'Distribución estado nutricional'!G$10/(1-0.86*'Distribución estado nutricional'!G$10))
/ ('Distribución estado nutricional'!G$10/(1-'Distribución estado nutricional'!G$10)))</f>
        <v>0.85954379949158632</v>
      </c>
    </row>
    <row r="7" spans="1:7" s="92" customFormat="1" ht="13" customHeight="1" x14ac:dyDescent="0.3">
      <c r="A7" s="92" t="s">
        <v>329</v>
      </c>
    </row>
    <row r="8" spans="1:7" ht="13" customHeight="1" x14ac:dyDescent="0.3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ht="13" customHeight="1" x14ac:dyDescent="0.3">
      <c r="A9" s="4" t="s">
        <v>334</v>
      </c>
    </row>
    <row r="10" spans="1:7" x14ac:dyDescent="0.25">
      <c r="B10" s="11" t="s">
        <v>164</v>
      </c>
      <c r="C10" s="90">
        <f>C3*0.9</f>
        <v>0.9</v>
      </c>
      <c r="D10" s="90">
        <f>D3*0.9</f>
        <v>0.77141778309711084</v>
      </c>
      <c r="E10" s="90" t="e">
        <f>E3*0.9</f>
        <v>#DIV/0!</v>
      </c>
      <c r="F10" s="90">
        <f>F3*0.9</f>
        <v>0.7737346461295449</v>
      </c>
      <c r="G10" s="90">
        <f>G3*0.9</f>
        <v>0.77383510975042302</v>
      </c>
    </row>
    <row r="11" spans="1:7" ht="13" customHeight="1" x14ac:dyDescent="0.3">
      <c r="A11" s="4" t="s">
        <v>331</v>
      </c>
      <c r="B11" s="11"/>
      <c r="C11" s="83"/>
      <c r="D11" s="83"/>
      <c r="E11" s="83"/>
      <c r="F11" s="83"/>
      <c r="G11" s="83"/>
    </row>
    <row r="12" spans="1:7" x14ac:dyDescent="0.25">
      <c r="B12" s="5" t="s">
        <v>162</v>
      </c>
      <c r="C12" s="90">
        <f>C5*0.9</f>
        <v>0.9</v>
      </c>
      <c r="D12" s="90">
        <f>D5*0.9</f>
        <v>0.77105913577122054</v>
      </c>
      <c r="E12" s="90">
        <f>E5*0.9</f>
        <v>0.77375153364720417</v>
      </c>
      <c r="F12" s="90">
        <f>F5*0.9</f>
        <v>0.77344741928885197</v>
      </c>
      <c r="G12" s="90">
        <f>G5*0.9</f>
        <v>0.77358941954242766</v>
      </c>
    </row>
    <row r="14" spans="1:7" s="92" customFormat="1" ht="13" customHeight="1" x14ac:dyDescent="0.3">
      <c r="A14" s="92" t="s">
        <v>336</v>
      </c>
    </row>
    <row r="15" spans="1:7" ht="13" customHeight="1" x14ac:dyDescent="0.3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ht="13" customHeight="1" x14ac:dyDescent="0.3">
      <c r="A16" s="4" t="s">
        <v>335</v>
      </c>
    </row>
    <row r="17" spans="1:7" x14ac:dyDescent="0.25">
      <c r="B17" s="11" t="s">
        <v>164</v>
      </c>
      <c r="C17" s="90">
        <f>C3*1.05</f>
        <v>1.05</v>
      </c>
      <c r="D17" s="90">
        <f>D3*1.05</f>
        <v>0.89998741361329593</v>
      </c>
      <c r="E17" s="90" t="e">
        <f>E3*1.05</f>
        <v>#DIV/0!</v>
      </c>
      <c r="F17" s="90">
        <f>F3*1.05</f>
        <v>0.90269042048446912</v>
      </c>
      <c r="G17" s="90">
        <f>G3*1.05</f>
        <v>0.90280762804216019</v>
      </c>
    </row>
    <row r="18" spans="1:7" ht="13" customHeight="1" x14ac:dyDescent="0.3">
      <c r="A18" s="4" t="s">
        <v>332</v>
      </c>
      <c r="B18" s="11"/>
      <c r="C18" s="83"/>
      <c r="D18" s="83"/>
      <c r="E18" s="83"/>
      <c r="F18" s="83"/>
      <c r="G18" s="83"/>
    </row>
    <row r="19" spans="1:7" x14ac:dyDescent="0.25">
      <c r="B19" s="5" t="s">
        <v>162</v>
      </c>
      <c r="C19" s="90">
        <f>C5*1.05</f>
        <v>1.05</v>
      </c>
      <c r="D19" s="90">
        <f>D5*1.05</f>
        <v>0.89956899173309057</v>
      </c>
      <c r="E19" s="90">
        <f>E5*1.05</f>
        <v>0.90271012258840488</v>
      </c>
      <c r="F19" s="90">
        <f>F5*1.05</f>
        <v>0.90235532250366068</v>
      </c>
      <c r="G19" s="90">
        <f>G5*1.05</f>
        <v>0.90252098946616566</v>
      </c>
    </row>
  </sheetData>
  <sheetProtection algorithmName="SHA-512" hashValue="xKFGuc2m3zhAoBZe2QT01TXlzjh9eQK6vhEJuDZCk192Rp2aLL4oAcHZPQTP3NHR+W9lh7dGo6FIvomrhglq6g==" saltValue="1CLFmIOTs5dkKVEZ3ftNh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5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338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338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6</v>
      </c>
      <c r="C7" s="5" t="s">
        <v>337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338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338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6</v>
      </c>
      <c r="C11" s="5" t="s">
        <v>337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338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338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6</v>
      </c>
      <c r="C15" s="5" t="s">
        <v>337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338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338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6</v>
      </c>
      <c r="C19" s="5" t="s">
        <v>337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338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173</v>
      </c>
      <c r="B21" s="5" t="s">
        <v>92</v>
      </c>
      <c r="C21" s="5" t="s">
        <v>337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171</v>
      </c>
      <c r="B23" s="5" t="s">
        <v>92</v>
      </c>
      <c r="C23" s="5" t="s">
        <v>337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172</v>
      </c>
      <c r="B25" s="5" t="s">
        <v>92</v>
      </c>
      <c r="C25" s="5" t="s">
        <v>337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203</v>
      </c>
      <c r="B42" s="5" t="s">
        <v>84</v>
      </c>
      <c r="C42" s="5" t="s">
        <v>337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338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338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202</v>
      </c>
      <c r="B50" s="5" t="s">
        <v>84</v>
      </c>
      <c r="C50" s="5" t="s">
        <v>337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329</v>
      </c>
      <c r="B55" s="97"/>
      <c r="C55" s="97"/>
    </row>
    <row r="56" spans="1:8" ht="13" customHeight="1" x14ac:dyDescent="0.3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5">
      <c r="A57" s="5" t="s">
        <v>196</v>
      </c>
      <c r="B57" s="5" t="s">
        <v>84</v>
      </c>
      <c r="C57" s="5" t="s">
        <v>337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338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338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204</v>
      </c>
      <c r="B68" s="5" t="s">
        <v>207</v>
      </c>
      <c r="C68" s="5" t="s">
        <v>337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338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6</v>
      </c>
      <c r="C70" s="5" t="s">
        <v>337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338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167</v>
      </c>
      <c r="B72" s="5" t="s">
        <v>207</v>
      </c>
      <c r="C72" s="5" t="s">
        <v>337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338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6</v>
      </c>
      <c r="C74" s="5" t="s">
        <v>337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338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173</v>
      </c>
      <c r="B76" s="5" t="s">
        <v>92</v>
      </c>
      <c r="C76" s="5" t="s">
        <v>337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171</v>
      </c>
      <c r="B78" s="5" t="s">
        <v>92</v>
      </c>
      <c r="C78" s="5" t="s">
        <v>337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172</v>
      </c>
      <c r="B80" s="5" t="s">
        <v>92</v>
      </c>
      <c r="C80" s="5" t="s">
        <v>337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200</v>
      </c>
      <c r="B82" s="5" t="s">
        <v>84</v>
      </c>
      <c r="C82" s="5" t="s">
        <v>337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338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201</v>
      </c>
      <c r="B85" s="5" t="s">
        <v>84</v>
      </c>
      <c r="C85" s="5" t="s">
        <v>337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338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199</v>
      </c>
      <c r="B88" s="5" t="s">
        <v>84</v>
      </c>
      <c r="C88" s="5" t="s">
        <v>337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338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198</v>
      </c>
      <c r="B91" s="5" t="s">
        <v>84</v>
      </c>
      <c r="C91" s="5" t="s">
        <v>337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08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338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197</v>
      </c>
      <c r="B94" s="5" t="s">
        <v>84</v>
      </c>
      <c r="C94" s="5" t="s">
        <v>337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338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203</v>
      </c>
      <c r="B97" s="5" t="s">
        <v>84</v>
      </c>
      <c r="C97" s="5" t="s">
        <v>337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08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338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102</v>
      </c>
      <c r="C100" s="5" t="s">
        <v>337</v>
      </c>
      <c r="D100" s="90">
        <f t="shared" si="6"/>
        <v>0.27</v>
      </c>
      <c r="E100" s="90">
        <f t="shared" si="6"/>
        <v>0.27</v>
      </c>
      <c r="F100" s="90">
        <f t="shared" si="5"/>
        <v>0.27</v>
      </c>
      <c r="G100" s="90">
        <f t="shared" si="5"/>
        <v>0.27</v>
      </c>
      <c r="H100" s="90">
        <f t="shared" si="2"/>
        <v>0.27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338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192</v>
      </c>
      <c r="B103" s="5" t="s">
        <v>84</v>
      </c>
      <c r="C103" s="5" t="s">
        <v>337</v>
      </c>
      <c r="D103" s="90">
        <f t="shared" si="6"/>
        <v>0.79200000000000004</v>
      </c>
      <c r="E103" s="90">
        <f t="shared" si="6"/>
        <v>0.79200000000000004</v>
      </c>
      <c r="F103" s="90">
        <f t="shared" si="5"/>
        <v>0.79200000000000004</v>
      </c>
      <c r="G103" s="90">
        <f t="shared" si="5"/>
        <v>0.79200000000000004</v>
      </c>
      <c r="H103" s="90">
        <f t="shared" si="2"/>
        <v>0.79200000000000004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202</v>
      </c>
      <c r="B105" s="5" t="s">
        <v>84</v>
      </c>
      <c r="C105" s="5" t="s">
        <v>337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182</v>
      </c>
      <c r="B107" s="5" t="s">
        <v>96</v>
      </c>
      <c r="C107" s="5" t="s">
        <v>337</v>
      </c>
      <c r="D107" s="90">
        <f t="shared" si="6"/>
        <v>0.52200000000000002</v>
      </c>
      <c r="E107" s="90">
        <f t="shared" si="6"/>
        <v>0.52200000000000002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336</v>
      </c>
      <c r="B110" s="97"/>
      <c r="C110" s="97"/>
    </row>
    <row r="111" spans="1:8" ht="13" customHeight="1" x14ac:dyDescent="0.3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5">
      <c r="A112" s="5" t="s">
        <v>196</v>
      </c>
      <c r="B112" s="5" t="s">
        <v>84</v>
      </c>
      <c r="C112" s="5" t="s">
        <v>337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338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193</v>
      </c>
      <c r="B115" s="5" t="s">
        <v>207</v>
      </c>
      <c r="C115" s="5" t="s">
        <v>337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338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6</v>
      </c>
      <c r="C117" s="5" t="s">
        <v>337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338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207</v>
      </c>
      <c r="C119" s="5" t="s">
        <v>337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338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6</v>
      </c>
      <c r="C121" s="5" t="s">
        <v>337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338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338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338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173</v>
      </c>
      <c r="B131" s="5" t="s">
        <v>92</v>
      </c>
      <c r="C131" s="5" t="s">
        <v>337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171</v>
      </c>
      <c r="B133" s="5" t="s">
        <v>92</v>
      </c>
      <c r="C133" s="5" t="s">
        <v>337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172</v>
      </c>
      <c r="B135" s="5" t="s">
        <v>92</v>
      </c>
      <c r="C135" s="5" t="s">
        <v>337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200</v>
      </c>
      <c r="B137" s="5" t="s">
        <v>84</v>
      </c>
      <c r="C137" s="5" t="s">
        <v>337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338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201</v>
      </c>
      <c r="B140" s="5" t="s">
        <v>84</v>
      </c>
      <c r="C140" s="5" t="s">
        <v>337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338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199</v>
      </c>
      <c r="B143" s="5" t="s">
        <v>84</v>
      </c>
      <c r="C143" s="5" t="s">
        <v>337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338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198</v>
      </c>
      <c r="B146" s="5" t="s">
        <v>84</v>
      </c>
      <c r="C146" s="5" t="s">
        <v>337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3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338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197</v>
      </c>
      <c r="B149" s="5" t="s">
        <v>84</v>
      </c>
      <c r="C149" s="5" t="s">
        <v>337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338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203</v>
      </c>
      <c r="B152" s="5" t="s">
        <v>84</v>
      </c>
      <c r="C152" s="5" t="s">
        <v>337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63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338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102</v>
      </c>
      <c r="C155" s="5" t="s">
        <v>337</v>
      </c>
      <c r="D155" s="90">
        <f t="shared" si="13"/>
        <v>0.315</v>
      </c>
      <c r="E155" s="90">
        <f t="shared" si="13"/>
        <v>0.315</v>
      </c>
      <c r="F155" s="90">
        <f t="shared" si="12"/>
        <v>0.315</v>
      </c>
      <c r="G155" s="90">
        <f t="shared" si="12"/>
        <v>0.315</v>
      </c>
      <c r="H155" s="90">
        <f t="shared" si="9"/>
        <v>0.315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338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192</v>
      </c>
      <c r="B158" s="5" t="s">
        <v>84</v>
      </c>
      <c r="C158" s="5" t="s">
        <v>337</v>
      </c>
      <c r="D158" s="90">
        <f t="shared" si="13"/>
        <v>0.92400000000000004</v>
      </c>
      <c r="E158" s="90">
        <f t="shared" si="13"/>
        <v>0.92400000000000004</v>
      </c>
      <c r="F158" s="90">
        <f t="shared" si="12"/>
        <v>0.92400000000000004</v>
      </c>
      <c r="G158" s="90">
        <f t="shared" si="12"/>
        <v>0.92400000000000004</v>
      </c>
      <c r="H158" s="90">
        <f t="shared" si="9"/>
        <v>0.92400000000000004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202</v>
      </c>
      <c r="B160" s="5" t="s">
        <v>84</v>
      </c>
      <c r="C160" s="5" t="s">
        <v>337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182</v>
      </c>
      <c r="B162" s="5" t="s">
        <v>96</v>
      </c>
      <c r="C162" s="5" t="s">
        <v>337</v>
      </c>
      <c r="D162" s="90">
        <f t="shared" si="13"/>
        <v>0.60899999999999999</v>
      </c>
      <c r="E162" s="90">
        <f t="shared" si="13"/>
        <v>0.60899999999999999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G0QegX0aS+U8gAv1kEN0wpXPu6jpu02XSF7EGzjP9hYrRMWfm7wwOZolJ5TqiNoNy6Ys3HX44DZA7/GcjGkhNQ==" saltValue="eZ9NNV+2sLe3XnahLL0Gc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5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329</v>
      </c>
    </row>
    <row r="10" spans="1:8" ht="13" customHeight="1" x14ac:dyDescent="0.3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5">
      <c r="A11" s="3" t="s">
        <v>166</v>
      </c>
      <c r="B11" s="8" t="s">
        <v>86</v>
      </c>
      <c r="C11" s="3" t="s">
        <v>337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189</v>
      </c>
      <c r="B13" s="8" t="s">
        <v>86</v>
      </c>
      <c r="C13" s="3" t="s">
        <v>337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188</v>
      </c>
      <c r="B15" s="8" t="s">
        <v>86</v>
      </c>
      <c r="C15" s="3" t="s">
        <v>337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336</v>
      </c>
    </row>
    <row r="19" spans="1:7" ht="13" customHeight="1" x14ac:dyDescent="0.3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5">
      <c r="A20" s="3" t="s">
        <v>166</v>
      </c>
      <c r="B20" s="8" t="s">
        <v>86</v>
      </c>
      <c r="C20" s="3" t="s">
        <v>337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189</v>
      </c>
      <c r="B22" s="8" t="s">
        <v>86</v>
      </c>
      <c r="C22" s="3" t="s">
        <v>337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188</v>
      </c>
      <c r="B24" s="8" t="s">
        <v>86</v>
      </c>
      <c r="C24" s="3" t="s">
        <v>337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Dd90lrMogn4l6x/fjhOHG44GfENwI6C/RqL5GxE77hED2HaqkD9m/1CrYOdOhQ1BY0Q93qWVXdGRdK+5LIbvfg==" saltValue="joNXKJl5P6Ltbkiz/hrhCg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2024-03-15T02:29:51Z</dcterms:modified>
</cp:coreProperties>
</file>