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0309CFAF-F4E8-4D36-B7DF-960725F0CDF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E12" i="26"/>
  <c r="C12" i="26"/>
  <c r="C10" i="26"/>
  <c r="G5" i="26"/>
  <c r="G19" i="26" s="1"/>
  <c r="F5" i="26"/>
  <c r="F12" i="26" s="1"/>
  <c r="E5" i="26"/>
  <c r="E19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A31" i="2"/>
  <c r="A29" i="2"/>
  <c r="A27" i="2"/>
  <c r="A2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E10" i="26" l="1"/>
  <c r="F19" i="26"/>
  <c r="A18" i="2"/>
  <c r="A34" i="2"/>
  <c r="A19" i="2"/>
  <c r="A21" i="2"/>
  <c r="A35" i="2"/>
  <c r="A37" i="2"/>
  <c r="A23" i="2"/>
  <c r="I38" i="2"/>
  <c r="A14" i="2"/>
  <c r="A22" i="2"/>
  <c r="A30" i="2"/>
  <c r="A38" i="2"/>
  <c r="A40" i="2"/>
  <c r="D10" i="26"/>
  <c r="G12" i="26"/>
  <c r="A3" i="2"/>
  <c r="A4" i="2" s="1"/>
  <c r="A5" i="2" s="1"/>
  <c r="A6" i="2" s="1"/>
  <c r="A7" i="2" s="1"/>
  <c r="A8" i="2" s="1"/>
  <c r="A9" i="2" s="1"/>
  <c r="A10" i="2" s="1"/>
  <c r="A11" i="2" s="1"/>
  <c r="A24" i="2"/>
  <c r="F10" i="26"/>
  <c r="A16" i="2"/>
  <c r="A32" i="2"/>
  <c r="A17" i="2"/>
  <c r="A25" i="2"/>
  <c r="A33" i="2"/>
  <c r="G10" i="26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<sst xmlns="http://schemas.openxmlformats.org/spreadsheetml/2006/main" count="2092" uniqueCount="341">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</sst>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7123555.3125</v>
      </c>
    </row>
    <row r="8" spans="1:3" ht="15" customHeight="1" x14ac:dyDescent="0.25">
      <c r="B8" s="5" t="s">
        <v>44</v>
      </c>
      <c r="C8" s="44">
        <v>0.127</v>
      </c>
    </row>
    <row r="9" spans="1:3" ht="15" customHeight="1" x14ac:dyDescent="0.25">
      <c r="B9" s="5" t="s">
        <v>43</v>
      </c>
      <c r="C9" s="45">
        <v>0.1</v>
      </c>
    </row>
    <row r="10" spans="1:3" ht="15" customHeight="1" x14ac:dyDescent="0.25">
      <c r="B10" s="5" t="s">
        <v>56</v>
      </c>
      <c r="C10" s="45">
        <v>0.30839620590209998</v>
      </c>
    </row>
    <row r="11" spans="1:3" ht="15" customHeight="1" x14ac:dyDescent="0.25">
      <c r="B11" s="5" t="s">
        <v>49</v>
      </c>
      <c r="C11" s="45">
        <v>0.50700000000000001</v>
      </c>
    </row>
    <row r="12" spans="1:3" ht="15" customHeight="1" x14ac:dyDescent="0.25">
      <c r="B12" s="5" t="s">
        <v>41</v>
      </c>
      <c r="C12" s="45">
        <v>0.48299999999999998</v>
      </c>
    </row>
    <row r="13" spans="1:3" ht="15" customHeight="1" x14ac:dyDescent="0.25">
      <c r="B13" s="5" t="s">
        <v>62</v>
      </c>
      <c r="C13" s="45">
        <v>0.69799999999999995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7.4299999999999991E-2</v>
      </c>
    </row>
    <row r="24" spans="1:3" ht="15" customHeight="1" x14ac:dyDescent="0.25">
      <c r="B24" s="15" t="s">
        <v>46</v>
      </c>
      <c r="C24" s="45">
        <v>0.44829999999999998</v>
      </c>
    </row>
    <row r="25" spans="1:3" ht="15" customHeight="1" x14ac:dyDescent="0.25">
      <c r="B25" s="15" t="s">
        <v>47</v>
      </c>
      <c r="C25" s="45">
        <v>0.39019999999999999</v>
      </c>
    </row>
    <row r="26" spans="1:3" ht="15" customHeight="1" x14ac:dyDescent="0.25">
      <c r="B26" s="15" t="s">
        <v>48</v>
      </c>
      <c r="C26" s="45">
        <v>8.72E-2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0.18136664659999999</v>
      </c>
    </row>
    <row r="30" spans="1:3" ht="14.25" customHeight="1" x14ac:dyDescent="0.25">
      <c r="B30" s="25" t="s">
        <v>63</v>
      </c>
      <c r="C30" s="99">
        <v>0.1032510536</v>
      </c>
    </row>
    <row r="31" spans="1:3" ht="14.25" customHeight="1" x14ac:dyDescent="0.25">
      <c r="B31" s="25" t="s">
        <v>10</v>
      </c>
      <c r="C31" s="99">
        <v>0.13079470200000001</v>
      </c>
    </row>
    <row r="32" spans="1:3" ht="14.25" customHeight="1" x14ac:dyDescent="0.25">
      <c r="B32" s="25" t="s">
        <v>11</v>
      </c>
      <c r="C32" s="99">
        <v>0.58458759780000003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27.219969074432399</v>
      </c>
    </row>
    <row r="38" spans="1:5" ht="15" customHeight="1" x14ac:dyDescent="0.25">
      <c r="B38" s="11" t="s">
        <v>35</v>
      </c>
      <c r="C38" s="43">
        <v>40.968681384121801</v>
      </c>
      <c r="D38" s="12"/>
      <c r="E38" s="13"/>
    </row>
    <row r="39" spans="1:5" ht="15" customHeight="1" x14ac:dyDescent="0.25">
      <c r="B39" s="11" t="s">
        <v>61</v>
      </c>
      <c r="C39" s="43">
        <v>58.414902873901397</v>
      </c>
      <c r="D39" s="12"/>
      <c r="E39" s="12"/>
    </row>
    <row r="40" spans="1:5" ht="15" customHeight="1" x14ac:dyDescent="0.25">
      <c r="B40" s="11" t="s">
        <v>36</v>
      </c>
      <c r="C40" s="100">
        <v>2.95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22.617056439999999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9.4189000000000009E-3</v>
      </c>
      <c r="D45" s="12"/>
    </row>
    <row r="46" spans="1:5" ht="15.75" customHeight="1" x14ac:dyDescent="0.25">
      <c r="B46" s="11" t="s">
        <v>51</v>
      </c>
      <c r="C46" s="45">
        <v>7.8801999999999997E-2</v>
      </c>
      <c r="D46" s="12"/>
    </row>
    <row r="47" spans="1:5" ht="15.75" customHeight="1" x14ac:dyDescent="0.25">
      <c r="B47" s="11" t="s">
        <v>59</v>
      </c>
      <c r="C47" s="45">
        <v>7.7900200000000003E-2</v>
      </c>
      <c r="D47" s="12"/>
      <c r="E47" s="13"/>
    </row>
    <row r="48" spans="1:5" ht="15" customHeight="1" x14ac:dyDescent="0.25">
      <c r="B48" s="11" t="s">
        <v>58</v>
      </c>
      <c r="C48" s="46">
        <v>0.83387889999999998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0.52577700000000005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ANyPB3Nbqe1Imh526wuKbJFGto3P95xAbiLXI829JbAF9D84wJ7eTHWJjjiM2nvSYNDwDqx6gGBrHg1rM8G8BA==" saltValue="sqEMFtZ0BLN41l0DXUcU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9.5020106923580303E-2</v>
      </c>
      <c r="C2" s="98">
        <v>0.95</v>
      </c>
      <c r="D2" s="56">
        <v>47.001122266344161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39.632944298745883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241.50381621256199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0.63572318409505146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12.76524374254179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12.76524374254179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12.76524374254179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12.76524374254179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12.76524374254179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12.76524374254179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0.19551599546106199</v>
      </c>
      <c r="C16" s="98">
        <v>0.95</v>
      </c>
      <c r="D16" s="56">
        <v>0.4719828027126588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5.6195673264216497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5.6195673264216497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0.53042918443679798</v>
      </c>
      <c r="C21" s="98">
        <v>0.95</v>
      </c>
      <c r="D21" s="56">
        <v>5.7756331563778938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21.899261251179791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7.5947934399999998E-3</v>
      </c>
      <c r="C23" s="98">
        <v>0.95</v>
      </c>
      <c r="D23" s="56">
        <v>4.1250028489423594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0.20749319417572201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0.121857072520256</v>
      </c>
      <c r="C27" s="98">
        <v>0.95</v>
      </c>
      <c r="D27" s="56">
        <v>18.34498420736286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0.19644320000000001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88.477616348400218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4.0508635694147443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0.53045450000000005</v>
      </c>
      <c r="C32" s="98">
        <v>0.95</v>
      </c>
      <c r="D32" s="56">
        <v>0.98807896403043338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0.36575032490126702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0.34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0.152187049388885</v>
      </c>
      <c r="C38" s="98">
        <v>0.95</v>
      </c>
      <c r="D38" s="56">
        <v>7.6479873549004456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0.23971219999999999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9RcPrSIl5smMwWcGfTIJed8bSePI4E7t3f5v4G3ijeIz/Rg0aKDImrY0ftCr86GW2J4YEzfKYMvhkvewCnKihw==" saltValue="cT0FFaihYwun2zorOdnW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qZFp0tITq4SUv4t7Ns40zzLWpGzOdf6MJJ5dY4xFNaRKusdJCvYibupvY51+4wU5GcQpIWs/OKBVK04cr13Y8Q==" saltValue="iHG83cnmaBSYjdvSH//lQ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htgrwLgLEJCaYeaHgC9wkbKAaTN7VdSHvRzeGfqxNPkvwASdrbiZko7+HirNFUg8IoeuxvZL2OB1ya/5OZeoqQ==" saltValue="h3mVzhEd4SnFRf4T5MX86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0.20624480098485951</v>
      </c>
      <c r="C3" s="21">
        <f>frac_mam_1_5months * 2.6</f>
        <v>0.20624480098485951</v>
      </c>
      <c r="D3" s="21">
        <f>frac_mam_6_11months * 2.6</f>
        <v>0.31698135733604343</v>
      </c>
      <c r="E3" s="21">
        <f>frac_mam_12_23months * 2.6</f>
        <v>0.40099966228008177</v>
      </c>
      <c r="F3" s="21">
        <f>frac_mam_24_59months * 2.6</f>
        <v>0.2896797716617584</v>
      </c>
    </row>
    <row r="4" spans="1:6" ht="15.75" customHeight="1" x14ac:dyDescent="0.25">
      <c r="A4" s="3" t="s">
        <v>207</v>
      </c>
      <c r="B4" s="21">
        <f>frac_sam_1month * 2.6</f>
        <v>0.10810579881072035</v>
      </c>
      <c r="C4" s="21">
        <f>frac_sam_1_5months * 2.6</f>
        <v>0.10810579881072035</v>
      </c>
      <c r="D4" s="21">
        <f>frac_sam_6_11months * 2.6</f>
        <v>0.15526864454150194</v>
      </c>
      <c r="E4" s="21">
        <f>frac_sam_12_23months * 2.6</f>
        <v>0.152835253626108</v>
      </c>
      <c r="F4" s="21">
        <f>frac_sam_24_59months * 2.6</f>
        <v>9.7335326671600414E-2</v>
      </c>
    </row>
  </sheetData>
  <sheetProtection algorithmName="SHA-512" hashValue="Pue/Eebt8trH40/ed5a7akKzPWbzgkW4n9uw2uemGzKYmvwWZ53id7WbavX8V/8yGoBkOkhRmh0x7Kh6fnHG6A==" saltValue="C8ZsJU0yIWAOHyyBBOBL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0.127</v>
      </c>
      <c r="E2" s="60">
        <f>food_insecure</f>
        <v>0.127</v>
      </c>
      <c r="F2" s="60">
        <f>food_insecure</f>
        <v>0.127</v>
      </c>
      <c r="G2" s="60">
        <f>food_insecure</f>
        <v>0.127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0.127</v>
      </c>
      <c r="F5" s="60">
        <f>food_insecure</f>
        <v>0.127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0.127</v>
      </c>
      <c r="F8" s="60">
        <f>food_insecure</f>
        <v>0.127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0.127</v>
      </c>
      <c r="F9" s="60">
        <f>food_insecure</f>
        <v>0.127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0.48299999999999998</v>
      </c>
      <c r="E10" s="60">
        <f>IF(ISBLANK(comm_deliv), frac_children_health_facility,1)</f>
        <v>0.48299999999999998</v>
      </c>
      <c r="F10" s="60">
        <f>IF(ISBLANK(comm_deliv), frac_children_health_facility,1)</f>
        <v>0.48299999999999998</v>
      </c>
      <c r="G10" s="60">
        <f>IF(ISBLANK(comm_deliv), frac_children_health_facility,1)</f>
        <v>0.48299999999999998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0.127</v>
      </c>
      <c r="I15" s="60">
        <f>food_insecure</f>
        <v>0.127</v>
      </c>
      <c r="J15" s="60">
        <f>food_insecure</f>
        <v>0.127</v>
      </c>
      <c r="K15" s="60">
        <f>food_insecure</f>
        <v>0.127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0.50700000000000001</v>
      </c>
      <c r="I18" s="60">
        <f>frac_PW_health_facility</f>
        <v>0.50700000000000001</v>
      </c>
      <c r="J18" s="60">
        <f>frac_PW_health_facility</f>
        <v>0.50700000000000001</v>
      </c>
      <c r="K18" s="60">
        <f>frac_PW_health_facility</f>
        <v>0.50700000000000001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</v>
      </c>
      <c r="I19" s="60">
        <f>frac_malaria_risk</f>
        <v>0.1</v>
      </c>
      <c r="J19" s="60">
        <f>frac_malaria_risk</f>
        <v>0.1</v>
      </c>
      <c r="K19" s="60">
        <f>frac_malaria_risk</f>
        <v>0.1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0.69799999999999995</v>
      </c>
      <c r="M24" s="60">
        <f>famplan_unmet_need</f>
        <v>0.69799999999999995</v>
      </c>
      <c r="N24" s="60">
        <f>famplan_unmet_need</f>
        <v>0.69799999999999995</v>
      </c>
      <c r="O24" s="60">
        <f>famplan_unmet_need</f>
        <v>0.69799999999999995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0.35733093229656199</v>
      </c>
      <c r="M25" s="60">
        <f>(1-food_insecure)*(0.49)+food_insecure*(0.7)</f>
        <v>0.51666999999999996</v>
      </c>
      <c r="N25" s="60">
        <f>(1-food_insecure)*(0.49)+food_insecure*(0.7)</f>
        <v>0.51666999999999996</v>
      </c>
      <c r="O25" s="60">
        <f>(1-food_insecure)*(0.49)+food_insecure*(0.7)</f>
        <v>0.51666999999999996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0.15314182812709801</v>
      </c>
      <c r="M26" s="60">
        <f>(1-food_insecure)*(0.21)+food_insecure*(0.3)</f>
        <v>0.22142999999999999</v>
      </c>
      <c r="N26" s="60">
        <f>(1-food_insecure)*(0.21)+food_insecure*(0.3)</f>
        <v>0.22142999999999999</v>
      </c>
      <c r="O26" s="60">
        <f>(1-food_insecure)*(0.21)+food_insecure*(0.3)</f>
        <v>0.22142999999999999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0.18113103367423999</v>
      </c>
      <c r="M27" s="60">
        <f>(1-food_insecure)*(0.3)</f>
        <v>0.26189999999999997</v>
      </c>
      <c r="N27" s="60">
        <f>(1-food_insecure)*(0.3)</f>
        <v>0.26189999999999997</v>
      </c>
      <c r="O27" s="60">
        <f>(1-food_insecure)*(0.3)</f>
        <v>0.26189999999999997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0.30839620590209993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</v>
      </c>
      <c r="D34" s="60">
        <f t="shared" si="3"/>
        <v>0.1</v>
      </c>
      <c r="E34" s="60">
        <f t="shared" si="3"/>
        <v>0.1</v>
      </c>
      <c r="F34" s="60">
        <f t="shared" si="3"/>
        <v>0.1</v>
      </c>
      <c r="G34" s="60">
        <f t="shared" si="3"/>
        <v>0.1</v>
      </c>
      <c r="H34" s="60">
        <f t="shared" si="3"/>
        <v>0.1</v>
      </c>
      <c r="I34" s="60">
        <f t="shared" si="3"/>
        <v>0.1</v>
      </c>
      <c r="J34" s="60">
        <f t="shared" si="3"/>
        <v>0.1</v>
      </c>
      <c r="K34" s="60">
        <f t="shared" si="3"/>
        <v>0.1</v>
      </c>
      <c r="L34" s="60">
        <f t="shared" si="3"/>
        <v>0.1</v>
      </c>
      <c r="M34" s="60">
        <f t="shared" si="3"/>
        <v>0.1</v>
      </c>
      <c r="N34" s="60">
        <f t="shared" si="3"/>
        <v>0.1</v>
      </c>
      <c r="O34" s="60">
        <f t="shared" si="3"/>
        <v>0.1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bauejimqojDwT0Mx5Wc3212+6Eq/xAowTy/z3JvAQANmKWUNuvY6Vus/UX9QBNBB8EbfAHcJpxeacReWOiEXyQ==" saltValue="CxUcY1NrW9cKsnQP1j/Kg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CRfzWlhPK4eojoCuZo/aJuPEWS+9bYycEiLyMRQ0gv+jFN5nMEb4MbkIeFsqOllUmkrkWBa5cfUJo7uE6c+ntg==" saltValue="y2JtE0hq1n3iDTXoA2yd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z+Q29eBBqTuNCk6zaYApWaIfE157lYXmRR34HA0RDwqyi022kFDNtnZlKmmd1OYruzZepBj0CsCtfJXw5jYjg==" saltValue="xiedAseVM2EVs8JGSZyh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0xLuNnyoQORqceaIyEE0ejJHgeZTet40aQUZWzKAwPpDt+jtPZb0h3F8E8x6ZEmZkv8nan7LAuvnKFWYzZqYQ==" saltValue="plhB9fujoS16dL6WVpqW1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3WH0xD7Ycq4mNotfynDv68+UwaHWX6zqcozTtzZ6uuS2yKDIlQdlwZCeXMhHtr98AQjBDRyQroOwDtuYo5JEQ==" saltValue="hI700TwnuqoDhAUbCyh0D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SFHkfOrVFYV5w7+j3XnPKBJZJgaYCuO8V0nEBFPpBoLTH7EWQqcU4KJOEM2f8uBCFWOIM9GUm2HM9uUfBy5yg==" saltValue="BO/l1z8d4uHFlTS70jZM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1393963.7568000001</v>
      </c>
      <c r="C2" s="49">
        <v>2404000</v>
      </c>
      <c r="D2" s="49">
        <v>3880000</v>
      </c>
      <c r="E2" s="49">
        <v>41000</v>
      </c>
      <c r="F2" s="49">
        <v>37000</v>
      </c>
      <c r="G2" s="17">
        <f t="shared" ref="G2:G11" si="0">C2+D2+E2+F2</f>
        <v>6362000</v>
      </c>
      <c r="H2" s="17">
        <f t="shared" ref="H2:H11" si="1">(B2 + stillbirth*B2/(1000-stillbirth))/(1-abortion)</f>
        <v>1620705.3070382553</v>
      </c>
      <c r="I2" s="17">
        <f t="shared" ref="I2:I11" si="2">G2-H2</f>
        <v>4741294.692961745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1414540.8828</v>
      </c>
      <c r="C3" s="50">
        <v>2451000</v>
      </c>
      <c r="D3" s="50">
        <v>4001000</v>
      </c>
      <c r="E3" s="50">
        <v>41000</v>
      </c>
      <c r="F3" s="50">
        <v>36000</v>
      </c>
      <c r="G3" s="17">
        <f t="shared" si="0"/>
        <v>6529000</v>
      </c>
      <c r="H3" s="17">
        <f t="shared" si="1"/>
        <v>1644629.499578492</v>
      </c>
      <c r="I3" s="17">
        <f t="shared" si="2"/>
        <v>4884370.5004215082</v>
      </c>
    </row>
    <row r="4" spans="1:9" ht="15.75" customHeight="1" x14ac:dyDescent="0.25">
      <c r="A4" s="5">
        <f t="shared" si="3"/>
        <v>2023</v>
      </c>
      <c r="B4" s="49">
        <v>1435151.2032000001</v>
      </c>
      <c r="C4" s="50">
        <v>2496000</v>
      </c>
      <c r="D4" s="50">
        <v>4121000</v>
      </c>
      <c r="E4" s="50">
        <v>42000</v>
      </c>
      <c r="F4" s="50">
        <v>37000</v>
      </c>
      <c r="G4" s="17">
        <f t="shared" si="0"/>
        <v>6696000</v>
      </c>
      <c r="H4" s="17">
        <f t="shared" si="1"/>
        <v>1668592.2859056774</v>
      </c>
      <c r="I4" s="17">
        <f t="shared" si="2"/>
        <v>5027407.7140943222</v>
      </c>
    </row>
    <row r="5" spans="1:9" ht="15.75" customHeight="1" x14ac:dyDescent="0.25">
      <c r="A5" s="5">
        <f t="shared" si="3"/>
        <v>2024</v>
      </c>
      <c r="B5" s="49">
        <v>1455624.7552</v>
      </c>
      <c r="C5" s="50">
        <v>2540000</v>
      </c>
      <c r="D5" s="50">
        <v>4239000</v>
      </c>
      <c r="E5" s="50">
        <v>42000</v>
      </c>
      <c r="F5" s="50">
        <v>36000</v>
      </c>
      <c r="G5" s="17">
        <f t="shared" si="0"/>
        <v>6857000</v>
      </c>
      <c r="H5" s="17">
        <f t="shared" si="1"/>
        <v>1692396.0571432423</v>
      </c>
      <c r="I5" s="17">
        <f t="shared" si="2"/>
        <v>5164603.9428567579</v>
      </c>
    </row>
    <row r="6" spans="1:9" ht="15.75" customHeight="1" x14ac:dyDescent="0.25">
      <c r="A6" s="5">
        <f t="shared" si="3"/>
        <v>2025</v>
      </c>
      <c r="B6" s="49">
        <v>1475978</v>
      </c>
      <c r="C6" s="50">
        <v>2583000</v>
      </c>
      <c r="D6" s="50">
        <v>4354000</v>
      </c>
      <c r="E6" s="50">
        <v>42000</v>
      </c>
      <c r="F6" s="50">
        <v>37000</v>
      </c>
      <c r="G6" s="17">
        <f t="shared" si="0"/>
        <v>7016000</v>
      </c>
      <c r="H6" s="17">
        <f t="shared" si="1"/>
        <v>1716059.9520629589</v>
      </c>
      <c r="I6" s="17">
        <f t="shared" si="2"/>
        <v>5299940.0479370411</v>
      </c>
    </row>
    <row r="7" spans="1:9" ht="15.75" customHeight="1" x14ac:dyDescent="0.25">
      <c r="A7" s="5">
        <f t="shared" si="3"/>
        <v>2026</v>
      </c>
      <c r="B7" s="49">
        <v>1496387.9476000001</v>
      </c>
      <c r="C7" s="50">
        <v>2623000</v>
      </c>
      <c r="D7" s="50">
        <v>4464000</v>
      </c>
      <c r="E7" s="50">
        <v>44000</v>
      </c>
      <c r="F7" s="50">
        <v>37000</v>
      </c>
      <c r="G7" s="17">
        <f t="shared" si="0"/>
        <v>7168000</v>
      </c>
      <c r="H7" s="17">
        <f t="shared" si="1"/>
        <v>1739789.7730359435</v>
      </c>
      <c r="I7" s="17">
        <f t="shared" si="2"/>
        <v>5428210.2269640565</v>
      </c>
    </row>
    <row r="8" spans="1:9" ht="15.75" customHeight="1" x14ac:dyDescent="0.25">
      <c r="A8" s="5">
        <f t="shared" si="3"/>
        <v>2027</v>
      </c>
      <c r="B8" s="49">
        <v>1516576.4992</v>
      </c>
      <c r="C8" s="50">
        <v>2662000</v>
      </c>
      <c r="D8" s="50">
        <v>4570000</v>
      </c>
      <c r="E8" s="50">
        <v>44000</v>
      </c>
      <c r="F8" s="50">
        <v>38000</v>
      </c>
      <c r="G8" s="17">
        <f t="shared" si="0"/>
        <v>7314000</v>
      </c>
      <c r="H8" s="17">
        <f t="shared" si="1"/>
        <v>1763262.1858299796</v>
      </c>
      <c r="I8" s="17">
        <f t="shared" si="2"/>
        <v>5550737.8141700206</v>
      </c>
    </row>
    <row r="9" spans="1:9" ht="15.75" customHeight="1" x14ac:dyDescent="0.25">
      <c r="A9" s="5">
        <f t="shared" si="3"/>
        <v>2028</v>
      </c>
      <c r="B9" s="49">
        <v>1536502.6751999999</v>
      </c>
      <c r="C9" s="50">
        <v>2701000</v>
      </c>
      <c r="D9" s="50">
        <v>4674000</v>
      </c>
      <c r="E9" s="50">
        <v>44000</v>
      </c>
      <c r="F9" s="50">
        <v>38000</v>
      </c>
      <c r="G9" s="17">
        <f t="shared" si="0"/>
        <v>7457000</v>
      </c>
      <c r="H9" s="17">
        <f t="shared" si="1"/>
        <v>1786429.5451208081</v>
      </c>
      <c r="I9" s="17">
        <f t="shared" si="2"/>
        <v>5670570.4548791917</v>
      </c>
    </row>
    <row r="10" spans="1:9" ht="15.75" customHeight="1" x14ac:dyDescent="0.25">
      <c r="A10" s="5">
        <f t="shared" si="3"/>
        <v>2029</v>
      </c>
      <c r="B10" s="49">
        <v>1556213.6348000001</v>
      </c>
      <c r="C10" s="50">
        <v>2741000</v>
      </c>
      <c r="D10" s="50">
        <v>4772000</v>
      </c>
      <c r="E10" s="50">
        <v>44000</v>
      </c>
      <c r="F10" s="50">
        <v>39000</v>
      </c>
      <c r="G10" s="17">
        <f t="shared" si="0"/>
        <v>7596000</v>
      </c>
      <c r="H10" s="17">
        <f t="shared" si="1"/>
        <v>1809346.6810037894</v>
      </c>
      <c r="I10" s="17">
        <f t="shared" si="2"/>
        <v>5786653.3189962106</v>
      </c>
    </row>
    <row r="11" spans="1:9" ht="15.75" customHeight="1" x14ac:dyDescent="0.25">
      <c r="A11" s="5">
        <f t="shared" si="3"/>
        <v>2030</v>
      </c>
      <c r="B11" s="49">
        <v>1575610.66</v>
      </c>
      <c r="C11" s="50">
        <v>2781000</v>
      </c>
      <c r="D11" s="50">
        <v>4866000</v>
      </c>
      <c r="E11" s="50">
        <v>44000</v>
      </c>
      <c r="F11" s="50">
        <v>39000</v>
      </c>
      <c r="G11" s="17">
        <f t="shared" si="0"/>
        <v>7730000</v>
      </c>
      <c r="H11" s="17">
        <f t="shared" si="1"/>
        <v>1831898.818051141</v>
      </c>
      <c r="I11" s="17">
        <f t="shared" si="2"/>
        <v>5898101.1819488592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gSzTsFCzRRuge6Z3t6pYGei0RsJm2YLgiGxMN7orUrkkA4/16YI92p2eKQDj3PgBUanNhonE9+hp//OvnQZrg==" saltValue="b6UqxmBNhnZeovMz7lHVZ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3.3719258433059416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3.3719258433059416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2.1926426725418517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2.1926426725418517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2.5671652893271402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2.5671652893271402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1.7879960515008666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1.7879960515008666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4.2613980345456692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4.2613980345456692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2.6398836747450463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2.6398836747450463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A9YneDAq5o7xcVLJmeZM+gDg1Xnn+dVHrxm8V6KUWZ7jUBfgo/+igBnaB/xUeo5Nt6ta5NvyTOv+7wTOySOgJQ==" saltValue="VbaadoHwM734R5Q8bz676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OmJOZXPAHBTFGEu6aJ7Rp9tg81KViHKLdUsjf4kV/qYZMKxFdwjMMEXc5nVpm6lHQWQ1LsAqoyVRfrRQ8Tlmg==" saltValue="tU98N9DZITG2pBVDpPL7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HP3GenjWkgmB7WvEq3mQHScSBk9UGauGbc67LxC2RU104bKEFTF1Uq8DcWlrjZEQfk54NBr9G+yJ+vGzMEsoQg==" saltValue="Pjm+nA5OgJlGsrdIw7Zy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0.58909094746679513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0.58909094746679513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0.85536001961406793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0.85536001961406793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0.85536001961406793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0.85536001961406793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0.3878597716187881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0.3878597716187881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0.82045682573697964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0.82045682573697964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0.82045682573697964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0.82045682573697964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0.9026648860691826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0.9026648860691826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0.89075530243633627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0.89075530243633627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0.89075530243633627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0.89075530243633627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2CpR8AMBXX8koA9pTnSHlIisi94M2L/SLfzN/N+3fZy6MP3RnQRMifGRY/7mxr88XTXQ5TJLD3s83BTOmEfdg==" saltValue="IKyLy9b/INwxGQAJpyTQ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evgplZ1QiKUNPfwDF0lYozvmA7VYwJToSDn0VNfJnBsefsvwP9MP/L8cPk4WD+8svGWVo/hf3aEvle2/MJgjbw==" saltValue="UHgBmkI8GHzG+mgTFofy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0.51997564670864349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0.52689487989223216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0.52689487989223216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0.62888346940939455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0.62888346940939455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0.62888346940939455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0.62888346940939455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0.64154035231462503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0.64154035231462503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0.64154035231462503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0.64154035231462503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0.62756340259421994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0.63402334005160443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0.63402334005160443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0.72497249724972512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0.72497249724972512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0.72497249724972512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0.72497249724972512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0.73572938689217748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0.73572938689217748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0.73572938689217748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0.73572938689217748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0.33088748866351742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0.3370573249102487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0.3370573249102487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0.43617777559875476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0.43617777559875476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0.43617777559875476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0.43617777559875476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0.44965543644716688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0.44965543644716688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0.44965543644716688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0.44965543644716688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0.49569545388413355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0.50262990231036475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0.50262990231036475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0.60593721266255096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0.60593721266255096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0.60593721266255096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0.60593721266255096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0.61890243902439024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0.61890243902439024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0.61890243902439024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0.61890243902439024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0.93160328197629449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0.9333497087331073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0.9333497087331073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0.95517236226708313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0.95517236226708313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0.95517236226708313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0.95517236226708313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0.95745405037440423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0.95745405037440423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0.95745405037440423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0.95745405037440423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0.82889705362894106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0.83279527463829905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0.83279527463829905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0.88342950399253972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0.88342950399253972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0.88342950399253972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0.88342950399253972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0.88893824966681456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0.88893824966681456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0.88893824966681456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0.88893824966681456</v>
      </c>
    </row>
  </sheetData>
  <sheetProtection algorithmName="SHA-512" hashValue="XziGrrN9wimH06iXplnSeGIt3CrmF+18DsHjJlkbyTGvZDSbCjkDsKpPehxnecEANy9Wy2NgshA4gGbToCwZ4g==" saltValue="dEeP/exv6UbIbRzACFNq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0.85480822195945905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0.85242060408510578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0.8525457141007885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0.85534268077575704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0.84975003221323864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0.84360203640154319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0.83859097301253915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0.84516406077416217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0.76932739976351316</v>
      </c>
      <c r="E10" s="90">
        <f>E3*0.9</f>
        <v>0.76717854367659521</v>
      </c>
      <c r="F10" s="90">
        <f>F3*0.9</f>
        <v>0.76729114269070964</v>
      </c>
      <c r="G10" s="90">
        <f>G3*0.9</f>
        <v>0.76980841269818134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0.76477502899191474</v>
      </c>
      <c r="E12" s="90">
        <f>E5*0.9</f>
        <v>0.7592418327613889</v>
      </c>
      <c r="F12" s="90">
        <f>F5*0.9</f>
        <v>0.7547318757112853</v>
      </c>
      <c r="G12" s="90">
        <f>G5*0.9</f>
        <v>0.760647654696746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0.89754863305743204</v>
      </c>
      <c r="E17" s="90">
        <f>E3*1.05</f>
        <v>0.89504163428936112</v>
      </c>
      <c r="F17" s="90">
        <f>F3*1.05</f>
        <v>0.89517299980582798</v>
      </c>
      <c r="G17" s="90">
        <f>G3*1.05</f>
        <v>0.89810981481454488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0.89223753382390059</v>
      </c>
      <c r="E19" s="90">
        <f>E5*1.05</f>
        <v>0.88578213822162033</v>
      </c>
      <c r="F19" s="90">
        <f>F5*1.05</f>
        <v>0.88052052166316619</v>
      </c>
      <c r="G19" s="90">
        <f>G5*1.05</f>
        <v>0.88742226381287037</v>
      </c>
    </row>
  </sheetData>
  <sheetProtection algorithmName="SHA-512" hashValue="eaSHkvZjyP8a89fOoAyW6gHcpwBfaNirun/FWyMuUTCRzz/fYbUQRzRA5j6FV01luFDHAfkYaYGdEtU4/WVfFg==" saltValue="qyvdBLuFYjDDP21LUHjsj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m0fvs9G3MWyj928IygAMUUB4RTJ8176eti6AoOUDlofHxXn7mNPB22WC/0ZCUZFWOPu1mMtVbhI6W6STpGNmKg==" saltValue="a6852hSJFiqjybpn28zz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0+GIECeY3l3hygmarm5u/aTzI3qta/l1MAbhhJQ7lMSzl5K7RSd1NHO86NhkvGSTKvfPDK9uXo68E8TNll4mg==" saltValue="0feniJJapRiW8fog2hlkG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7.4945718500848213E-3</v>
      </c>
    </row>
    <row r="4" spans="1:8" ht="15.75" customHeight="1" x14ac:dyDescent="0.25">
      <c r="B4" s="19" t="s">
        <v>97</v>
      </c>
      <c r="C4" s="101">
        <v>0.17209629273427901</v>
      </c>
    </row>
    <row r="5" spans="1:8" ht="15.75" customHeight="1" x14ac:dyDescent="0.25">
      <c r="B5" s="19" t="s">
        <v>95</v>
      </c>
      <c r="C5" s="101">
        <v>6.2544277647704441E-2</v>
      </c>
    </row>
    <row r="6" spans="1:8" ht="15.75" customHeight="1" x14ac:dyDescent="0.25">
      <c r="B6" s="19" t="s">
        <v>91</v>
      </c>
      <c r="C6" s="101">
        <v>0.21788066476586551</v>
      </c>
    </row>
    <row r="7" spans="1:8" ht="15.75" customHeight="1" x14ac:dyDescent="0.25">
      <c r="B7" s="19" t="s">
        <v>96</v>
      </c>
      <c r="C7" s="101">
        <v>0.39978666929077389</v>
      </c>
    </row>
    <row r="8" spans="1:8" ht="15.75" customHeight="1" x14ac:dyDescent="0.25">
      <c r="B8" s="19" t="s">
        <v>98</v>
      </c>
      <c r="C8" s="101">
        <v>9.9387524187077268E-3</v>
      </c>
    </row>
    <row r="9" spans="1:8" ht="15.75" customHeight="1" x14ac:dyDescent="0.25">
      <c r="B9" s="19" t="s">
        <v>92</v>
      </c>
      <c r="C9" s="101">
        <v>7.7574984766219032E-2</v>
      </c>
    </row>
    <row r="10" spans="1:8" ht="15.75" customHeight="1" x14ac:dyDescent="0.25">
      <c r="B10" s="19" t="s">
        <v>94</v>
      </c>
      <c r="C10" s="101">
        <v>5.2683786526365531E-2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0.14874555186736271</v>
      </c>
      <c r="D14" s="55">
        <v>0.14874555186736271</v>
      </c>
      <c r="E14" s="55">
        <v>0.14874555186736271</v>
      </c>
      <c r="F14" s="55">
        <v>0.14874555186736271</v>
      </c>
    </row>
    <row r="15" spans="1:8" ht="15.75" customHeight="1" x14ac:dyDescent="0.25">
      <c r="B15" s="19" t="s">
        <v>102</v>
      </c>
      <c r="C15" s="101">
        <v>0.21578031105460391</v>
      </c>
      <c r="D15" s="101">
        <v>0.21578031105460391</v>
      </c>
      <c r="E15" s="101">
        <v>0.21578031105460391</v>
      </c>
      <c r="F15" s="101">
        <v>0.21578031105460391</v>
      </c>
    </row>
    <row r="16" spans="1:8" ht="15.75" customHeight="1" x14ac:dyDescent="0.25">
      <c r="B16" s="19" t="s">
        <v>2</v>
      </c>
      <c r="C16" s="101">
        <v>2.3644231099404261E-2</v>
      </c>
      <c r="D16" s="101">
        <v>2.3644231099404261E-2</v>
      </c>
      <c r="E16" s="101">
        <v>2.3644231099404261E-2</v>
      </c>
      <c r="F16" s="101">
        <v>2.3644231099404261E-2</v>
      </c>
    </row>
    <row r="17" spans="1:8" ht="15.75" customHeight="1" x14ac:dyDescent="0.25">
      <c r="B17" s="19" t="s">
        <v>90</v>
      </c>
      <c r="C17" s="101">
        <v>3.137023065468536E-2</v>
      </c>
      <c r="D17" s="101">
        <v>3.137023065468536E-2</v>
      </c>
      <c r="E17" s="101">
        <v>3.137023065468536E-2</v>
      </c>
      <c r="F17" s="101">
        <v>3.137023065468536E-2</v>
      </c>
    </row>
    <row r="18" spans="1:8" ht="15.75" customHeight="1" x14ac:dyDescent="0.25">
      <c r="B18" s="19" t="s">
        <v>3</v>
      </c>
      <c r="C18" s="101">
        <v>2.4821931183506792E-2</v>
      </c>
      <c r="D18" s="101">
        <v>2.4821931183506792E-2</v>
      </c>
      <c r="E18" s="101">
        <v>2.4821931183506792E-2</v>
      </c>
      <c r="F18" s="101">
        <v>2.4821931183506792E-2</v>
      </c>
    </row>
    <row r="19" spans="1:8" ht="15.75" customHeight="1" x14ac:dyDescent="0.25">
      <c r="B19" s="19" t="s">
        <v>101</v>
      </c>
      <c r="C19" s="101">
        <v>2.259716254451119E-2</v>
      </c>
      <c r="D19" s="101">
        <v>2.259716254451119E-2</v>
      </c>
      <c r="E19" s="101">
        <v>2.259716254451119E-2</v>
      </c>
      <c r="F19" s="101">
        <v>2.259716254451119E-2</v>
      </c>
    </row>
    <row r="20" spans="1:8" ht="15.75" customHeight="1" x14ac:dyDescent="0.25">
      <c r="B20" s="19" t="s">
        <v>79</v>
      </c>
      <c r="C20" s="101">
        <v>9.9293493019270186E-3</v>
      </c>
      <c r="D20" s="101">
        <v>9.9293493019270186E-3</v>
      </c>
      <c r="E20" s="101">
        <v>9.9293493019270186E-3</v>
      </c>
      <c r="F20" s="101">
        <v>9.9293493019270186E-3</v>
      </c>
    </row>
    <row r="21" spans="1:8" ht="15.75" customHeight="1" x14ac:dyDescent="0.25">
      <c r="B21" s="19" t="s">
        <v>88</v>
      </c>
      <c r="C21" s="101">
        <v>0.1288626843344533</v>
      </c>
      <c r="D21" s="101">
        <v>0.1288626843344533</v>
      </c>
      <c r="E21" s="101">
        <v>0.1288626843344533</v>
      </c>
      <c r="F21" s="101">
        <v>0.1288626843344533</v>
      </c>
    </row>
    <row r="22" spans="1:8" ht="15.75" customHeight="1" x14ac:dyDescent="0.25">
      <c r="B22" s="19" t="s">
        <v>99</v>
      </c>
      <c r="C22" s="101">
        <v>0.39424854795954561</v>
      </c>
      <c r="D22" s="101">
        <v>0.39424854795954561</v>
      </c>
      <c r="E22" s="101">
        <v>0.39424854795954561</v>
      </c>
      <c r="F22" s="101">
        <v>0.39424854795954561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4.6824316999999997E-2</v>
      </c>
    </row>
    <row r="27" spans="1:8" ht="15.75" customHeight="1" x14ac:dyDescent="0.25">
      <c r="B27" s="19" t="s">
        <v>89</v>
      </c>
      <c r="C27" s="101">
        <v>2.7708330999999999E-2</v>
      </c>
    </row>
    <row r="28" spans="1:8" ht="15.75" customHeight="1" x14ac:dyDescent="0.25">
      <c r="B28" s="19" t="s">
        <v>103</v>
      </c>
      <c r="C28" s="101">
        <v>0.192682248</v>
      </c>
    </row>
    <row r="29" spans="1:8" ht="15.75" customHeight="1" x14ac:dyDescent="0.25">
      <c r="B29" s="19" t="s">
        <v>86</v>
      </c>
      <c r="C29" s="101">
        <v>0.15047112300000001</v>
      </c>
    </row>
    <row r="30" spans="1:8" ht="15.75" customHeight="1" x14ac:dyDescent="0.25">
      <c r="B30" s="19" t="s">
        <v>4</v>
      </c>
      <c r="C30" s="101">
        <v>4.9998465000000013E-2</v>
      </c>
    </row>
    <row r="31" spans="1:8" ht="15.75" customHeight="1" x14ac:dyDescent="0.25">
      <c r="B31" s="19" t="s">
        <v>80</v>
      </c>
      <c r="C31" s="101">
        <v>3.0442113E-2</v>
      </c>
    </row>
    <row r="32" spans="1:8" ht="15.75" customHeight="1" x14ac:dyDescent="0.25">
      <c r="B32" s="19" t="s">
        <v>85</v>
      </c>
      <c r="C32" s="101">
        <v>8.5598303000000001E-2</v>
      </c>
    </row>
    <row r="33" spans="2:3" ht="15.75" customHeight="1" x14ac:dyDescent="0.25">
      <c r="B33" s="19" t="s">
        <v>100</v>
      </c>
      <c r="C33" s="101">
        <v>0.16741062000000001</v>
      </c>
    </row>
    <row r="34" spans="2:3" ht="15.75" customHeight="1" x14ac:dyDescent="0.25">
      <c r="B34" s="19" t="s">
        <v>87</v>
      </c>
      <c r="C34" s="101">
        <v>0.24886448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FyBcnYrCfVVccEnhgIMTf48ILuR56yJpUgQ8DH6Kjp6cPOTWEzBdIyXRn55+kn5MuAGaZEsPQ0dR1+VfBaDT4Q==" saltValue="QfPRx3XeTZDaVD0trizhR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0.55915256084357634</v>
      </c>
      <c r="D2" s="52">
        <f>IFERROR(1-_xlfn.NORM.DIST(_xlfn.NORM.INV(SUM(D4:D5), 0, 1) + 1, 0, 1, TRUE), "")</f>
        <v>0.55915256084357634</v>
      </c>
      <c r="E2" s="52">
        <f>IFERROR(1-_xlfn.NORM.DIST(_xlfn.NORM.INV(SUM(E4:E5), 0, 1) + 1, 0, 1, TRUE), "")</f>
        <v>0.44621296499964502</v>
      </c>
      <c r="F2" s="52">
        <f>IFERROR(1-_xlfn.NORM.DIST(_xlfn.NORM.INV(SUM(F4:F5), 0, 1) + 1, 0, 1, TRUE), "")</f>
        <v>0.22224116864615007</v>
      </c>
      <c r="G2" s="52">
        <f>IFERROR(1-_xlfn.NORM.DIST(_xlfn.NORM.INV(SUM(G4:G5), 0, 1) + 1, 0, 1, TRUE), "")</f>
        <v>0.18165389044197644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0.31553254036749467</v>
      </c>
      <c r="D3" s="52">
        <f>IFERROR(_xlfn.NORM.DIST(_xlfn.NORM.INV(SUM(D4:D5), 0, 1) + 1, 0, 1, TRUE) - SUM(D4:D5), "")</f>
        <v>0.31553254036749467</v>
      </c>
      <c r="E3" s="52">
        <f>IFERROR(_xlfn.NORM.DIST(_xlfn.NORM.INV(SUM(E4:E5), 0, 1) + 1, 0, 1, TRUE) - SUM(E4:E5), "")</f>
        <v>0.36020309205058337</v>
      </c>
      <c r="F3" s="52">
        <f>IFERROR(_xlfn.NORM.DIST(_xlfn.NORM.INV(SUM(F4:F5), 0, 1) + 1, 0, 1, TRUE) - SUM(F4:F5), "")</f>
        <v>0.37079181727952493</v>
      </c>
      <c r="G3" s="52">
        <f>IFERROR(_xlfn.NORM.DIST(_xlfn.NORM.INV(SUM(G4:G5), 0, 1) + 1, 0, 1, TRUE) - SUM(G4:G5), "")</f>
        <v>0.35456794159499555</v>
      </c>
    </row>
    <row r="4" spans="1:15" ht="15.75" customHeight="1" x14ac:dyDescent="0.25">
      <c r="B4" s="5" t="s">
        <v>110</v>
      </c>
      <c r="C4" s="45">
        <v>6.6612973809242207E-2</v>
      </c>
      <c r="D4" s="53">
        <v>6.6612973809242207E-2</v>
      </c>
      <c r="E4" s="53">
        <v>0.12343271076679201</v>
      </c>
      <c r="F4" s="53">
        <v>0.213793709874153</v>
      </c>
      <c r="G4" s="53">
        <v>0.229744598269463</v>
      </c>
    </row>
    <row r="5" spans="1:15" ht="15.75" customHeight="1" x14ac:dyDescent="0.25">
      <c r="B5" s="5" t="s">
        <v>106</v>
      </c>
      <c r="C5" s="45">
        <v>5.8701924979686702E-2</v>
      </c>
      <c r="D5" s="53">
        <v>5.8701924979686702E-2</v>
      </c>
      <c r="E5" s="53">
        <v>7.0151232182979598E-2</v>
      </c>
      <c r="F5" s="53">
        <v>0.19317330420017201</v>
      </c>
      <c r="G5" s="53">
        <v>0.23403356969356501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0.56768338010969677</v>
      </c>
      <c r="D8" s="52">
        <f>IFERROR(1-_xlfn.NORM.DIST(_xlfn.NORM.INV(SUM(D10:D11), 0, 1) + 1, 0, 1, TRUE), "")</f>
        <v>0.56768338010969677</v>
      </c>
      <c r="E8" s="52">
        <f>IFERROR(1-_xlfn.NORM.DIST(_xlfn.NORM.INV(SUM(E10:E11), 0, 1) + 1, 0, 1, TRUE), "")</f>
        <v>0.46380718523307674</v>
      </c>
      <c r="F8" s="52">
        <f>IFERROR(1-_xlfn.NORM.DIST(_xlfn.NORM.INV(SUM(F10:F11), 0, 1) + 1, 0, 1, TRUE), "")</f>
        <v>0.41918022964160861</v>
      </c>
      <c r="G8" s="52">
        <f>IFERROR(1-_xlfn.NORM.DIST(_xlfn.NORM.INV(SUM(G10:G11), 0, 1) + 1, 0, 1, TRUE), "")</f>
        <v>0.51649948273392021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0.31141254304584942</v>
      </c>
      <c r="D9" s="52">
        <f>IFERROR(_xlfn.NORM.DIST(_xlfn.NORM.INV(SUM(D10:D11), 0, 1) + 1, 0, 1, TRUE) - SUM(D10:D11), "")</f>
        <v>0.31141254304584942</v>
      </c>
      <c r="E9" s="52">
        <f>IFERROR(_xlfn.NORM.DIST(_xlfn.NORM.INV(SUM(E10:E11), 0, 1) + 1, 0, 1, TRUE) - SUM(E10:E11), "")</f>
        <v>0.35455819866017507</v>
      </c>
      <c r="F9" s="52">
        <f>IFERROR(_xlfn.NORM.DIST(_xlfn.NORM.INV(SUM(F10:F11), 0, 1) + 1, 0, 1, TRUE) - SUM(F10:F11), "")</f>
        <v>0.36780634116370303</v>
      </c>
      <c r="G9" s="52">
        <f>IFERROR(_xlfn.NORM.DIST(_xlfn.NORM.INV(SUM(G10:G11), 0, 1) + 1, 0, 1, TRUE) - SUM(G10:G11), "")</f>
        <v>0.33464855636863405</v>
      </c>
    </row>
    <row r="10" spans="1:15" ht="15.75" customHeight="1" x14ac:dyDescent="0.25">
      <c r="B10" s="5" t="s">
        <v>107</v>
      </c>
      <c r="C10" s="45">
        <v>7.9324923455715193E-2</v>
      </c>
      <c r="D10" s="53">
        <v>7.9324923455715193E-2</v>
      </c>
      <c r="E10" s="53">
        <v>0.121915906667709</v>
      </c>
      <c r="F10" s="53">
        <v>0.15423063933849299</v>
      </c>
      <c r="G10" s="53">
        <v>0.11141529679298399</v>
      </c>
    </row>
    <row r="11" spans="1:15" ht="15.75" customHeight="1" x14ac:dyDescent="0.25">
      <c r="B11" s="5" t="s">
        <v>119</v>
      </c>
      <c r="C11" s="45">
        <v>4.1579153388738598E-2</v>
      </c>
      <c r="D11" s="53">
        <v>4.1579153388738598E-2</v>
      </c>
      <c r="E11" s="53">
        <v>5.9718709439039203E-2</v>
      </c>
      <c r="F11" s="53">
        <v>5.8782789856195387E-2</v>
      </c>
      <c r="G11" s="53">
        <v>3.7436664104461698E-2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0.58450609649999996</v>
      </c>
      <c r="D14" s="54">
        <v>0.57874480719300003</v>
      </c>
      <c r="E14" s="54">
        <v>0.57874480719300003</v>
      </c>
      <c r="F14" s="54">
        <v>0.56689632875700002</v>
      </c>
      <c r="G14" s="54">
        <v>0.56689632875700002</v>
      </c>
      <c r="H14" s="45">
        <v>0.34100000000000003</v>
      </c>
      <c r="I14" s="55">
        <v>0.34100000000000003</v>
      </c>
      <c r="J14" s="55">
        <v>0.34100000000000003</v>
      </c>
      <c r="K14" s="55">
        <v>0.34100000000000003</v>
      </c>
      <c r="L14" s="45">
        <v>0.30399999999999999</v>
      </c>
      <c r="M14" s="55">
        <v>0.30399999999999999</v>
      </c>
      <c r="N14" s="55">
        <v>0.30399999999999999</v>
      </c>
      <c r="O14" s="55">
        <v>0.30399999999999999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0.30731986189948052</v>
      </c>
      <c r="D15" s="52">
        <f t="shared" si="0"/>
        <v>0.30429070849151402</v>
      </c>
      <c r="E15" s="52">
        <f t="shared" si="0"/>
        <v>0.30429070849151402</v>
      </c>
      <c r="F15" s="52">
        <f t="shared" si="0"/>
        <v>0.29806105104486924</v>
      </c>
      <c r="G15" s="52">
        <f t="shared" si="0"/>
        <v>0.29806105104486924</v>
      </c>
      <c r="H15" s="52">
        <f t="shared" si="0"/>
        <v>0.17928995700000003</v>
      </c>
      <c r="I15" s="52">
        <f t="shared" si="0"/>
        <v>0.17928995700000003</v>
      </c>
      <c r="J15" s="52">
        <f t="shared" si="0"/>
        <v>0.17928995700000003</v>
      </c>
      <c r="K15" s="52">
        <f t="shared" si="0"/>
        <v>0.17928995700000003</v>
      </c>
      <c r="L15" s="52">
        <f t="shared" si="0"/>
        <v>0.15983620800000001</v>
      </c>
      <c r="M15" s="52">
        <f t="shared" si="0"/>
        <v>0.15983620800000001</v>
      </c>
      <c r="N15" s="52">
        <f t="shared" si="0"/>
        <v>0.15983620800000001</v>
      </c>
      <c r="O15" s="52">
        <f t="shared" si="0"/>
        <v>0.15983620800000001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9S2O3+5XyOgwS/t/HeEJZvGi1lobQ6/rDj8X0sDX8Xj43lL8L4kr3zeJPagAOI5YT6efSfAfyt+WabV26ntkYg==" saltValue="4HjZEhtudxwo+XYKKUmi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0.76390492916107211</v>
      </c>
      <c r="D2" s="53">
        <v>0.53045450000000005</v>
      </c>
      <c r="E2" s="53"/>
      <c r="F2" s="53"/>
      <c r="G2" s="53"/>
    </row>
    <row r="3" spans="1:7" x14ac:dyDescent="0.25">
      <c r="B3" s="3" t="s">
        <v>127</v>
      </c>
      <c r="C3" s="53">
        <v>0.12635542452335399</v>
      </c>
      <c r="D3" s="53">
        <v>0.26860529999999999</v>
      </c>
      <c r="E3" s="53"/>
      <c r="F3" s="53"/>
      <c r="G3" s="53"/>
    </row>
    <row r="4" spans="1:7" x14ac:dyDescent="0.25">
      <c r="B4" s="3" t="s">
        <v>126</v>
      </c>
      <c r="C4" s="53">
        <v>8.7546065449714702E-2</v>
      </c>
      <c r="D4" s="53">
        <v>0.18029980000000001</v>
      </c>
      <c r="E4" s="53">
        <v>0.95787936449050903</v>
      </c>
      <c r="F4" s="53">
        <v>0.72524291276931807</v>
      </c>
      <c r="G4" s="53"/>
    </row>
    <row r="5" spans="1:7" x14ac:dyDescent="0.25">
      <c r="B5" s="3" t="s">
        <v>125</v>
      </c>
      <c r="C5" s="52">
        <v>2.2193556651473E-2</v>
      </c>
      <c r="D5" s="52">
        <v>2.0640363916754698E-2</v>
      </c>
      <c r="E5" s="52">
        <f>1-SUM(E2:E4)</f>
        <v>4.2120635509490967E-2</v>
      </c>
      <c r="F5" s="52">
        <f>1-SUM(F2:F4)</f>
        <v>0.27475708723068193</v>
      </c>
      <c r="G5" s="52">
        <f>1-SUM(G2:G4)</f>
        <v>1</v>
      </c>
    </row>
  </sheetData>
  <sheetProtection algorithmName="SHA-512" hashValue="X4pNIgUyKTvI5qzUZCF8N4n5AdTEsJ3bf2Vb1Kkwtoj3iRogCl1854MksKbm3OpCYAE7EbR5wPyWWovyHFCvIw==" saltValue="ZRLAsmohmW8kR4RWmELXY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KO+01JYthBWCTGambMH9vND7nCIOcvWfRUONsqwslH/7wnytYZP6uGWruJ+6GnqooIXd7DRToeF4ALVDYA+1A==" saltValue="hMJeyrWycs9mcMvQzUQig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tpfTvji9GlkZYCX8AAJVJG0m4yCwXV4fD2WsyByWKLz+SO/VaAVjc+eLaJL/8CHeFtiCNgbja9PCnGrqwtZxbw==" saltValue="APHNtXGx/Hs/o1fr44gx5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AMnav3+pwKztE4Sv1+n9GCvQOGSssADTisLn9x8BHn97Z88STif2yHPPxuAINCHjrKeDKDtZrpX9YDIO0O14nA==" saltValue="wpxLRjlslGOvnHTyG0LM6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V7TJFWo4EersqMy5Js/T0d8L+i2EKV5qFFwabcYZlF8guNrWtuR4gHiVs6izdQAcmI4k4ClN2hv2TLV5VoPVQ==" saltValue="/qu8QF5d6zWp0yWvlC0W7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2024-03-15T02:30:11Z</dcterms:modified>
</cp:coreProperties>
</file>