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F6EA10B5-960A-49EE-8E95-E24D0C3AB1D0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F19" i="26"/>
  <c r="E19" i="26"/>
  <c r="D19" i="26"/>
  <c r="C19" i="26"/>
  <c r="C17" i="26"/>
  <c r="C12" i="26"/>
  <c r="C10" i="26"/>
  <c r="G5" i="26"/>
  <c r="G12" i="26" s="1"/>
  <c r="F5" i="26"/>
  <c r="F12" i="26" s="1"/>
  <c r="E5" i="26"/>
  <c r="E12" i="26" s="1"/>
  <c r="D5" i="26"/>
  <c r="D12" i="26" s="1"/>
  <c r="G3" i="26"/>
  <c r="G17" i="26" s="1"/>
  <c r="F3" i="26"/>
  <c r="F17" i="26" s="1"/>
  <c r="E3" i="26"/>
  <c r="E10" i="26" s="1"/>
  <c r="D3" i="26"/>
  <c r="D10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H39" i="2"/>
  <c r="I39" i="2" s="1"/>
  <c r="G39" i="2"/>
  <c r="H38" i="2"/>
  <c r="G38" i="2"/>
  <c r="I38" i="2" s="1"/>
  <c r="H11" i="2"/>
  <c r="I11" i="2" s="1"/>
  <c r="G11" i="2"/>
  <c r="H10" i="2"/>
  <c r="G10" i="2"/>
  <c r="H9" i="2"/>
  <c r="I9" i="2" s="1"/>
  <c r="G9" i="2"/>
  <c r="H8" i="2"/>
  <c r="G8" i="2"/>
  <c r="I8" i="2" s="1"/>
  <c r="H7" i="2"/>
  <c r="I7" i="2" s="1"/>
  <c r="G7" i="2"/>
  <c r="H6" i="2"/>
  <c r="G6" i="2"/>
  <c r="H5" i="2"/>
  <c r="I5" i="2" s="1"/>
  <c r="G5" i="2"/>
  <c r="H4" i="2"/>
  <c r="G4" i="2"/>
  <c r="I4" i="2" s="1"/>
  <c r="H3" i="2"/>
  <c r="G3" i="2"/>
  <c r="H2" i="2"/>
  <c r="G2" i="2"/>
  <c r="A2" i="2"/>
  <c r="A35" i="2" s="1"/>
  <c r="C33" i="1"/>
  <c r="C20" i="1"/>
  <c r="G19" i="26" l="1"/>
  <c r="I2" i="2"/>
  <c r="I6" i="2"/>
  <c r="I10" i="2"/>
  <c r="I40" i="2"/>
  <c r="I3" i="2"/>
  <c r="A12" i="2"/>
  <c r="A20" i="2"/>
  <c r="A36" i="2"/>
  <c r="A37" i="2"/>
  <c r="A40" i="2"/>
  <c r="A28" i="2"/>
  <c r="A21" i="2"/>
  <c r="A38" i="2"/>
  <c r="A31" i="2"/>
  <c r="A16" i="2"/>
  <c r="A32" i="2"/>
  <c r="F10" i="26"/>
  <c r="D17" i="26"/>
  <c r="A22" i="2"/>
  <c r="A17" i="2"/>
  <c r="A25" i="2"/>
  <c r="A33" i="2"/>
  <c r="G10" i="26"/>
  <c r="E17" i="26"/>
  <c r="A13" i="2"/>
  <c r="A30" i="2"/>
  <c r="A3" i="2"/>
  <c r="A24" i="2"/>
  <c r="A18" i="2"/>
  <c r="A26" i="2"/>
  <c r="A34" i="2"/>
  <c r="A39" i="2"/>
  <c r="A4" i="2"/>
  <c r="A5" i="2" s="1"/>
  <c r="A6" i="2" s="1"/>
  <c r="A7" i="2" s="1"/>
  <c r="A8" i="2" s="1"/>
  <c r="A9" i="2" s="1"/>
  <c r="A10" i="2" s="1"/>
  <c r="A11" i="2" s="1"/>
  <c r="A29" i="2"/>
  <c r="A14" i="2"/>
  <c r="A15" i="2"/>
  <c r="A23" i="2"/>
  <c r="A19" i="2"/>
  <c r="A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<sst xmlns="http://schemas.openxmlformats.org/spreadsheetml/2006/main" count="2092" uniqueCount="341">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</sst>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2590691.296875</v>
      </c>
    </row>
    <row r="8" spans="1:3" ht="15" customHeight="1" x14ac:dyDescent="0.25">
      <c r="B8" s="5" t="s">
        <v>44</v>
      </c>
      <c r="C8" s="44">
        <v>0.38</v>
      </c>
    </row>
    <row r="9" spans="1:3" ht="15" customHeight="1" x14ac:dyDescent="0.25">
      <c r="B9" s="5" t="s">
        <v>43</v>
      </c>
      <c r="C9" s="45">
        <v>0.97</v>
      </c>
    </row>
    <row r="10" spans="1:3" ht="15" customHeight="1" x14ac:dyDescent="0.25">
      <c r="B10" s="5" t="s">
        <v>56</v>
      </c>
      <c r="C10" s="45">
        <v>0.38866821289062498</v>
      </c>
    </row>
    <row r="11" spans="1:3" ht="15" customHeight="1" x14ac:dyDescent="0.25">
      <c r="B11" s="5" t="s">
        <v>49</v>
      </c>
      <c r="C11" s="45">
        <v>0.53799999999999992</v>
      </c>
    </row>
    <row r="12" spans="1:3" ht="15" customHeight="1" x14ac:dyDescent="0.25">
      <c r="B12" s="5" t="s">
        <v>41</v>
      </c>
      <c r="C12" s="45">
        <v>0.48199999999999998</v>
      </c>
    </row>
    <row r="13" spans="1:3" ht="15" customHeight="1" x14ac:dyDescent="0.25">
      <c r="B13" s="5" t="s">
        <v>62</v>
      </c>
      <c r="C13" s="45">
        <v>0.52600000000000002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7.9199999999999993E-2</v>
      </c>
    </row>
    <row r="24" spans="1:3" ht="15" customHeight="1" x14ac:dyDescent="0.25">
      <c r="B24" s="15" t="s">
        <v>46</v>
      </c>
      <c r="C24" s="45">
        <v>0.43070000000000003</v>
      </c>
    </row>
    <row r="25" spans="1:3" ht="15" customHeight="1" x14ac:dyDescent="0.25">
      <c r="B25" s="15" t="s">
        <v>47</v>
      </c>
      <c r="C25" s="45">
        <v>0.37840000000000001</v>
      </c>
    </row>
    <row r="26" spans="1:3" ht="15" customHeight="1" x14ac:dyDescent="0.25">
      <c r="B26" s="15" t="s">
        <v>48</v>
      </c>
      <c r="C26" s="45">
        <v>0.11169999999999999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0.236442709192907</v>
      </c>
    </row>
    <row r="30" spans="1:3" ht="14.25" customHeight="1" x14ac:dyDescent="0.25">
      <c r="B30" s="25" t="s">
        <v>63</v>
      </c>
      <c r="C30" s="99">
        <v>3.6313785338910602E-2</v>
      </c>
    </row>
    <row r="31" spans="1:3" ht="14.25" customHeight="1" x14ac:dyDescent="0.25">
      <c r="B31" s="25" t="s">
        <v>10</v>
      </c>
      <c r="C31" s="99">
        <v>8.4036435287478908E-2</v>
      </c>
    </row>
    <row r="32" spans="1:3" ht="14.25" customHeight="1" x14ac:dyDescent="0.25">
      <c r="B32" s="25" t="s">
        <v>11</v>
      </c>
      <c r="C32" s="99">
        <v>0.64320707018070389</v>
      </c>
    </row>
    <row r="33" spans="1:5" ht="13" customHeight="1" x14ac:dyDescent="0.25">
      <c r="B33" s="27" t="s">
        <v>60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21.963937364414399</v>
      </c>
    </row>
    <row r="38" spans="1:5" ht="15" customHeight="1" x14ac:dyDescent="0.25">
      <c r="B38" s="11" t="s">
        <v>35</v>
      </c>
      <c r="C38" s="43">
        <v>32.695969386853598</v>
      </c>
      <c r="D38" s="12"/>
      <c r="E38" s="13"/>
    </row>
    <row r="39" spans="1:5" ht="15" customHeight="1" x14ac:dyDescent="0.25">
      <c r="B39" s="11" t="s">
        <v>61</v>
      </c>
      <c r="C39" s="43">
        <v>45.3092047931652</v>
      </c>
      <c r="D39" s="12"/>
      <c r="E39" s="12"/>
    </row>
    <row r="40" spans="1:5" ht="15" customHeight="1" x14ac:dyDescent="0.25">
      <c r="B40" s="11" t="s">
        <v>36</v>
      </c>
      <c r="C40" s="100">
        <v>3.15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19.748426129999999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2.8649999999999999E-3</v>
      </c>
      <c r="D45" s="12"/>
    </row>
    <row r="46" spans="1:5" ht="15.75" customHeight="1" x14ac:dyDescent="0.25">
      <c r="B46" s="11" t="s">
        <v>51</v>
      </c>
      <c r="C46" s="45">
        <v>8.5673999999999986E-2</v>
      </c>
      <c r="D46" s="12"/>
    </row>
    <row r="47" spans="1:5" ht="15.75" customHeight="1" x14ac:dyDescent="0.25">
      <c r="B47" s="11" t="s">
        <v>59</v>
      </c>
      <c r="C47" s="45">
        <v>0.14243529999999999</v>
      </c>
      <c r="D47" s="12"/>
      <c r="E47" s="13"/>
    </row>
    <row r="48" spans="1:5" ht="15" customHeight="1" x14ac:dyDescent="0.25">
      <c r="B48" s="11" t="s">
        <v>58</v>
      </c>
      <c r="C48" s="46">
        <v>0.76902569999999992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3.3</v>
      </c>
      <c r="D51" s="12"/>
    </row>
    <row r="52" spans="1:4" ht="15" customHeight="1" x14ac:dyDescent="0.25">
      <c r="B52" s="11" t="s">
        <v>13</v>
      </c>
      <c r="C52" s="100">
        <v>3.3</v>
      </c>
    </row>
    <row r="53" spans="1:4" ht="15.75" customHeight="1" x14ac:dyDescent="0.25">
      <c r="B53" s="11" t="s">
        <v>16</v>
      </c>
      <c r="C53" s="100">
        <v>3.3</v>
      </c>
    </row>
    <row r="54" spans="1:4" ht="15.75" customHeight="1" x14ac:dyDescent="0.25">
      <c r="B54" s="11" t="s">
        <v>14</v>
      </c>
      <c r="C54" s="100">
        <v>3.3</v>
      </c>
    </row>
    <row r="55" spans="1:4" ht="15.75" customHeight="1" x14ac:dyDescent="0.25">
      <c r="B55" s="11" t="s">
        <v>15</v>
      </c>
      <c r="C55" s="100">
        <v>3.3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2.181818181818182E-2</v>
      </c>
    </row>
    <row r="59" spans="1:4" ht="15.75" customHeight="1" x14ac:dyDescent="0.25">
      <c r="B59" s="11" t="s">
        <v>40</v>
      </c>
      <c r="C59" s="45">
        <v>0.39979100000000012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0.18459738000000001</v>
      </c>
    </row>
    <row r="63" spans="1:4" ht="15.75" customHeight="1" x14ac:dyDescent="0.3">
      <c r="A63" s="4"/>
    </row>
  </sheetData>
  <sheetProtection algorithmName="SHA-512" hashValue="EjHaYUJcp7DcpS7DvabVMvmTWCNMti5vc/EwVjv5XXC6EUTkpZ+W0FT/O+mGZ5RSIhqhhJfE1iAGbCLDCXq+DA==" saltValue="i9+foziXGCeRa3ZZTOrv2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578922.48800000001</v>
      </c>
      <c r="C2" s="49">
        <v>917000</v>
      </c>
      <c r="D2" s="49">
        <v>1483000</v>
      </c>
      <c r="E2" s="49">
        <v>462000</v>
      </c>
      <c r="F2" s="49">
        <v>483000</v>
      </c>
      <c r="G2" s="17">
        <f t="shared" ref="G2:G11" si="0">C2+D2+E2+F2</f>
        <v>3345000</v>
      </c>
      <c r="H2" s="17">
        <f t="shared" ref="H2:H11" si="1">(B2 + stillbirth*B2/(1000-stillbirth))/(1-abortion)</f>
        <v>671120.02793234913</v>
      </c>
      <c r="I2" s="17">
        <f t="shared" ref="I2:I11" si="2">G2-H2</f>
        <v>2673879.9720676509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586153.16400000011</v>
      </c>
      <c r="C3" s="50">
        <v>948000</v>
      </c>
      <c r="D3" s="50">
        <v>1517000</v>
      </c>
      <c r="E3" s="50">
        <v>458000</v>
      </c>
      <c r="F3" s="50">
        <v>480000</v>
      </c>
      <c r="G3" s="17">
        <f t="shared" si="0"/>
        <v>3403000</v>
      </c>
      <c r="H3" s="17">
        <f t="shared" si="1"/>
        <v>679502.24071502103</v>
      </c>
      <c r="I3" s="17">
        <f t="shared" si="2"/>
        <v>2723497.7592849787</v>
      </c>
    </row>
    <row r="4" spans="1:9" ht="15.75" customHeight="1" x14ac:dyDescent="0.25">
      <c r="A4" s="5">
        <f t="shared" si="3"/>
        <v>2023</v>
      </c>
      <c r="B4" s="49">
        <v>593153.94600000011</v>
      </c>
      <c r="C4" s="50">
        <v>981000</v>
      </c>
      <c r="D4" s="50">
        <v>1553000</v>
      </c>
      <c r="E4" s="50">
        <v>455000</v>
      </c>
      <c r="F4" s="50">
        <v>476000</v>
      </c>
      <c r="G4" s="17">
        <f t="shared" si="0"/>
        <v>3465000</v>
      </c>
      <c r="H4" s="17">
        <f t="shared" si="1"/>
        <v>687617.94723666564</v>
      </c>
      <c r="I4" s="17">
        <f t="shared" si="2"/>
        <v>2777382.0527633345</v>
      </c>
    </row>
    <row r="5" spans="1:9" ht="15.75" customHeight="1" x14ac:dyDescent="0.25">
      <c r="A5" s="5">
        <f t="shared" si="3"/>
        <v>2024</v>
      </c>
      <c r="B5" s="49">
        <v>599948.18099999998</v>
      </c>
      <c r="C5" s="50">
        <v>1014000</v>
      </c>
      <c r="D5" s="50">
        <v>1592000</v>
      </c>
      <c r="E5" s="50">
        <v>451000</v>
      </c>
      <c r="F5" s="50">
        <v>472000</v>
      </c>
      <c r="G5" s="17">
        <f t="shared" si="0"/>
        <v>3529000</v>
      </c>
      <c r="H5" s="17">
        <f t="shared" si="1"/>
        <v>695494.21267373895</v>
      </c>
      <c r="I5" s="17">
        <f t="shared" si="2"/>
        <v>2833505.7873262609</v>
      </c>
    </row>
    <row r="6" spans="1:9" ht="15.75" customHeight="1" x14ac:dyDescent="0.25">
      <c r="A6" s="5">
        <f t="shared" si="3"/>
        <v>2025</v>
      </c>
      <c r="B6" s="49">
        <v>606495.46</v>
      </c>
      <c r="C6" s="50">
        <v>1048000</v>
      </c>
      <c r="D6" s="50">
        <v>1635000</v>
      </c>
      <c r="E6" s="50">
        <v>446000</v>
      </c>
      <c r="F6" s="50">
        <v>469000</v>
      </c>
      <c r="G6" s="17">
        <f t="shared" si="0"/>
        <v>3598000</v>
      </c>
      <c r="H6" s="17">
        <f t="shared" si="1"/>
        <v>703084.1926044561</v>
      </c>
      <c r="I6" s="17">
        <f t="shared" si="2"/>
        <v>2894915.8073955439</v>
      </c>
    </row>
    <row r="7" spans="1:9" ht="15.75" customHeight="1" x14ac:dyDescent="0.25">
      <c r="A7" s="5">
        <f t="shared" si="3"/>
        <v>2026</v>
      </c>
      <c r="B7" s="49">
        <v>615254.97279999999</v>
      </c>
      <c r="C7" s="50">
        <v>1082000</v>
      </c>
      <c r="D7" s="50">
        <v>1683000</v>
      </c>
      <c r="E7" s="50">
        <v>438000</v>
      </c>
      <c r="F7" s="50">
        <v>465000</v>
      </c>
      <c r="G7" s="17">
        <f t="shared" si="0"/>
        <v>3668000</v>
      </c>
      <c r="H7" s="17">
        <f t="shared" si="1"/>
        <v>713238.72036398202</v>
      </c>
      <c r="I7" s="17">
        <f t="shared" si="2"/>
        <v>2954761.279636018</v>
      </c>
    </row>
    <row r="8" spans="1:9" ht="15.75" customHeight="1" x14ac:dyDescent="0.25">
      <c r="A8" s="5">
        <f t="shared" si="3"/>
        <v>2027</v>
      </c>
      <c r="B8" s="49">
        <v>623902.43520000007</v>
      </c>
      <c r="C8" s="50">
        <v>1116000</v>
      </c>
      <c r="D8" s="50">
        <v>1734000</v>
      </c>
      <c r="E8" s="50">
        <v>431000</v>
      </c>
      <c r="F8" s="50">
        <v>461000</v>
      </c>
      <c r="G8" s="17">
        <f t="shared" si="0"/>
        <v>3742000</v>
      </c>
      <c r="H8" s="17">
        <f t="shared" si="1"/>
        <v>723263.35289722704</v>
      </c>
      <c r="I8" s="17">
        <f t="shared" si="2"/>
        <v>3018736.6471027732</v>
      </c>
    </row>
    <row r="9" spans="1:9" ht="15.75" customHeight="1" x14ac:dyDescent="0.25">
      <c r="A9" s="5">
        <f t="shared" si="3"/>
        <v>2028</v>
      </c>
      <c r="B9" s="49">
        <v>632430.96759999997</v>
      </c>
      <c r="C9" s="50">
        <v>1149000</v>
      </c>
      <c r="D9" s="50">
        <v>1787000</v>
      </c>
      <c r="E9" s="50">
        <v>423000</v>
      </c>
      <c r="F9" s="50">
        <v>458000</v>
      </c>
      <c r="G9" s="17">
        <f t="shared" si="0"/>
        <v>3817000</v>
      </c>
      <c r="H9" s="17">
        <f t="shared" si="1"/>
        <v>733150.11497876828</v>
      </c>
      <c r="I9" s="17">
        <f t="shared" si="2"/>
        <v>3083849.8850212316</v>
      </c>
    </row>
    <row r="10" spans="1:9" ht="15.75" customHeight="1" x14ac:dyDescent="0.25">
      <c r="A10" s="5">
        <f t="shared" si="3"/>
        <v>2029</v>
      </c>
      <c r="B10" s="49">
        <v>640833.69039999996</v>
      </c>
      <c r="C10" s="50">
        <v>1180000</v>
      </c>
      <c r="D10" s="50">
        <v>1844000</v>
      </c>
      <c r="E10" s="50">
        <v>415000</v>
      </c>
      <c r="F10" s="50">
        <v>456000</v>
      </c>
      <c r="G10" s="17">
        <f t="shared" si="0"/>
        <v>3895000</v>
      </c>
      <c r="H10" s="17">
        <f t="shared" si="1"/>
        <v>742891.03138318297</v>
      </c>
      <c r="I10" s="17">
        <f t="shared" si="2"/>
        <v>3152108.9686168171</v>
      </c>
    </row>
    <row r="11" spans="1:9" ht="15.75" customHeight="1" x14ac:dyDescent="0.25">
      <c r="A11" s="5">
        <f t="shared" si="3"/>
        <v>2030</v>
      </c>
      <c r="B11" s="49">
        <v>649133.06599999999</v>
      </c>
      <c r="C11" s="50">
        <v>1207000</v>
      </c>
      <c r="D11" s="50">
        <v>1904000</v>
      </c>
      <c r="E11" s="50">
        <v>407000</v>
      </c>
      <c r="F11" s="50">
        <v>452000</v>
      </c>
      <c r="G11" s="17">
        <f t="shared" si="0"/>
        <v>3970000</v>
      </c>
      <c r="H11" s="17">
        <f t="shared" si="1"/>
        <v>752512.14180806093</v>
      </c>
      <c r="I11" s="17">
        <f t="shared" si="2"/>
        <v>3217487.8581919391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OaEyfhTOkyYVEgZd74rZ8gt1i/iE6VxdqZYXs006ZSEFC9nsrvweBImqLnAO71VOaKOd8r2EBN10wiw7MNNHxg==" saltValue="eAkliowVZkbOTPD95iQcF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4.4712824981774828E-3</v>
      </c>
    </row>
    <row r="4" spans="1:8" ht="15.75" customHeight="1" x14ac:dyDescent="0.25">
      <c r="B4" s="19" t="s">
        <v>97</v>
      </c>
      <c r="C4" s="101">
        <v>0.20751379970319861</v>
      </c>
    </row>
    <row r="5" spans="1:8" ht="15.75" customHeight="1" x14ac:dyDescent="0.25">
      <c r="B5" s="19" t="s">
        <v>95</v>
      </c>
      <c r="C5" s="101">
        <v>6.462325837313336E-2</v>
      </c>
    </row>
    <row r="6" spans="1:8" ht="15.75" customHeight="1" x14ac:dyDescent="0.25">
      <c r="B6" s="19" t="s">
        <v>91</v>
      </c>
      <c r="C6" s="101">
        <v>0.25888576741349723</v>
      </c>
    </row>
    <row r="7" spans="1:8" ht="15.75" customHeight="1" x14ac:dyDescent="0.25">
      <c r="B7" s="19" t="s">
        <v>96</v>
      </c>
      <c r="C7" s="101">
        <v>0.27106590944320652</v>
      </c>
    </row>
    <row r="8" spans="1:8" ht="15.75" customHeight="1" x14ac:dyDescent="0.25">
      <c r="B8" s="19" t="s">
        <v>98</v>
      </c>
      <c r="C8" s="101">
        <v>3.8113644275411828E-3</v>
      </c>
    </row>
    <row r="9" spans="1:8" ht="15.75" customHeight="1" x14ac:dyDescent="0.25">
      <c r="B9" s="19" t="s">
        <v>92</v>
      </c>
      <c r="C9" s="101">
        <v>0.11425371089452099</v>
      </c>
    </row>
    <row r="10" spans="1:8" ht="15.75" customHeight="1" x14ac:dyDescent="0.25">
      <c r="B10" s="19" t="s">
        <v>94</v>
      </c>
      <c r="C10" s="101">
        <v>7.537490724672477E-2</v>
      </c>
    </row>
    <row r="11" spans="1:8" ht="15.75" customHeight="1" x14ac:dyDescent="0.25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0.13933240825645921</v>
      </c>
      <c r="D14" s="55">
        <v>0.13933240825645921</v>
      </c>
      <c r="E14" s="55">
        <v>0.13933240825645921</v>
      </c>
      <c r="F14" s="55">
        <v>0.13933240825645921</v>
      </c>
    </row>
    <row r="15" spans="1:8" ht="15.75" customHeight="1" x14ac:dyDescent="0.25">
      <c r="B15" s="19" t="s">
        <v>102</v>
      </c>
      <c r="C15" s="101">
        <v>0.2126346598670093</v>
      </c>
      <c r="D15" s="101">
        <v>0.2126346598670093</v>
      </c>
      <c r="E15" s="101">
        <v>0.2126346598670093</v>
      </c>
      <c r="F15" s="101">
        <v>0.2126346598670093</v>
      </c>
    </row>
    <row r="16" spans="1:8" ht="15.75" customHeight="1" x14ac:dyDescent="0.25">
      <c r="B16" s="19" t="s">
        <v>2</v>
      </c>
      <c r="C16" s="101">
        <v>2.744773188769253E-2</v>
      </c>
      <c r="D16" s="101">
        <v>2.744773188769253E-2</v>
      </c>
      <c r="E16" s="101">
        <v>2.744773188769253E-2</v>
      </c>
      <c r="F16" s="101">
        <v>2.744773188769253E-2</v>
      </c>
    </row>
    <row r="17" spans="1:8" ht="15.75" customHeight="1" x14ac:dyDescent="0.25">
      <c r="B17" s="19" t="s">
        <v>90</v>
      </c>
      <c r="C17" s="101">
        <v>7.7480920691334288E-3</v>
      </c>
      <c r="D17" s="101">
        <v>7.7480920691334288E-3</v>
      </c>
      <c r="E17" s="101">
        <v>7.7480920691334288E-3</v>
      </c>
      <c r="F17" s="101">
        <v>7.7480920691334288E-3</v>
      </c>
    </row>
    <row r="18" spans="1:8" ht="15.75" customHeight="1" x14ac:dyDescent="0.25">
      <c r="B18" s="19" t="s">
        <v>3</v>
      </c>
      <c r="C18" s="101">
        <v>8.0502036270693106E-2</v>
      </c>
      <c r="D18" s="101">
        <v>8.0502036270693106E-2</v>
      </c>
      <c r="E18" s="101">
        <v>8.0502036270693106E-2</v>
      </c>
      <c r="F18" s="101">
        <v>8.0502036270693106E-2</v>
      </c>
    </row>
    <row r="19" spans="1:8" ht="15.75" customHeight="1" x14ac:dyDescent="0.25">
      <c r="B19" s="19" t="s">
        <v>101</v>
      </c>
      <c r="C19" s="101">
        <v>3.0730508111025259E-2</v>
      </c>
      <c r="D19" s="101">
        <v>3.0730508111025259E-2</v>
      </c>
      <c r="E19" s="101">
        <v>3.0730508111025259E-2</v>
      </c>
      <c r="F19" s="101">
        <v>3.0730508111025259E-2</v>
      </c>
    </row>
    <row r="20" spans="1:8" ht="15.75" customHeight="1" x14ac:dyDescent="0.25">
      <c r="B20" s="19" t="s">
        <v>79</v>
      </c>
      <c r="C20" s="101">
        <v>1.1915944900915579E-2</v>
      </c>
      <c r="D20" s="101">
        <v>1.1915944900915579E-2</v>
      </c>
      <c r="E20" s="101">
        <v>1.1915944900915579E-2</v>
      </c>
      <c r="F20" s="101">
        <v>1.1915944900915579E-2</v>
      </c>
    </row>
    <row r="21" spans="1:8" ht="15.75" customHeight="1" x14ac:dyDescent="0.25">
      <c r="B21" s="19" t="s">
        <v>88</v>
      </c>
      <c r="C21" s="101">
        <v>0.1388575705231371</v>
      </c>
      <c r="D21" s="101">
        <v>0.1388575705231371</v>
      </c>
      <c r="E21" s="101">
        <v>0.1388575705231371</v>
      </c>
      <c r="F21" s="101">
        <v>0.1388575705231371</v>
      </c>
    </row>
    <row r="22" spans="1:8" ht="15.75" customHeight="1" x14ac:dyDescent="0.25">
      <c r="B22" s="19" t="s">
        <v>99</v>
      </c>
      <c r="C22" s="101">
        <v>0.3508310481139344</v>
      </c>
      <c r="D22" s="101">
        <v>0.3508310481139344</v>
      </c>
      <c r="E22" s="101">
        <v>0.3508310481139344</v>
      </c>
      <c r="F22" s="101">
        <v>0.3508310481139344</v>
      </c>
    </row>
    <row r="23" spans="1:8" ht="15.75" customHeight="1" x14ac:dyDescent="0.25">
      <c r="B23" s="27" t="s">
        <v>60</v>
      </c>
      <c r="C23" s="48">
        <f>SUM(C14:C22)</f>
        <v>0.99999999999999978</v>
      </c>
      <c r="D23" s="48">
        <f>SUM(D14:D22)</f>
        <v>0.99999999999999978</v>
      </c>
      <c r="E23" s="48">
        <f>SUM(E14:E22)</f>
        <v>0.99999999999999978</v>
      </c>
      <c r="F23" s="48">
        <f>SUM(F14:F22)</f>
        <v>0.99999999999999978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8.8209145000000003E-2</v>
      </c>
    </row>
    <row r="27" spans="1:8" ht="15.75" customHeight="1" x14ac:dyDescent="0.25">
      <c r="B27" s="19" t="s">
        <v>89</v>
      </c>
      <c r="C27" s="101">
        <v>8.6061309999999995E-3</v>
      </c>
    </row>
    <row r="28" spans="1:8" ht="15.75" customHeight="1" x14ac:dyDescent="0.25">
      <c r="B28" s="19" t="s">
        <v>103</v>
      </c>
      <c r="C28" s="101">
        <v>0.158177228</v>
      </c>
    </row>
    <row r="29" spans="1:8" ht="15.75" customHeight="1" x14ac:dyDescent="0.25">
      <c r="B29" s="19" t="s">
        <v>86</v>
      </c>
      <c r="C29" s="101">
        <v>0.16895537699999999</v>
      </c>
    </row>
    <row r="30" spans="1:8" ht="15.75" customHeight="1" x14ac:dyDescent="0.25">
      <c r="B30" s="19" t="s">
        <v>4</v>
      </c>
      <c r="C30" s="101">
        <v>0.10501387</v>
      </c>
    </row>
    <row r="31" spans="1:8" ht="15.75" customHeight="1" x14ac:dyDescent="0.25">
      <c r="B31" s="19" t="s">
        <v>80</v>
      </c>
      <c r="C31" s="101">
        <v>0.110556312</v>
      </c>
    </row>
    <row r="32" spans="1:8" ht="15.75" customHeight="1" x14ac:dyDescent="0.25">
      <c r="B32" s="19" t="s">
        <v>85</v>
      </c>
      <c r="C32" s="101">
        <v>1.8813532000000001E-2</v>
      </c>
    </row>
    <row r="33" spans="2:3" ht="15.75" customHeight="1" x14ac:dyDescent="0.25">
      <c r="B33" s="19" t="s">
        <v>100</v>
      </c>
      <c r="C33" s="101">
        <v>8.3149402999999997E-2</v>
      </c>
    </row>
    <row r="34" spans="2:3" ht="15.75" customHeight="1" x14ac:dyDescent="0.25">
      <c r="B34" s="19" t="s">
        <v>87</v>
      </c>
      <c r="C34" s="101">
        <v>0.25851900100000003</v>
      </c>
    </row>
    <row r="35" spans="2:3" ht="15.75" customHeight="1" x14ac:dyDescent="0.25">
      <c r="B35" s="27" t="s">
        <v>60</v>
      </c>
      <c r="C35" s="48">
        <f>SUM(C26:C34)</f>
        <v>0.99999999900000003</v>
      </c>
    </row>
  </sheetData>
  <sheetProtection algorithmName="SHA-512" hashValue="dYcGzNZ6WkaPvwVdRjbSUDCXOCO4fGaFpp3nU10RWZ3tOk2wkHAgwy4e1gvssmh/UQiyPnjTpe8A3YgwYm0JOQ==" saltValue="yfkYdZl4wR6mrZc3fKL4R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0.53786015563438472</v>
      </c>
      <c r="D2" s="52">
        <f>IFERROR(1-_xlfn.NORM.DIST(_xlfn.NORM.INV(SUM(D4:D5), 0, 1) + 1, 0, 1, TRUE), "")</f>
        <v>0.53786015563438472</v>
      </c>
      <c r="E2" s="52">
        <f>IFERROR(1-_xlfn.NORM.DIST(_xlfn.NORM.INV(SUM(E4:E5), 0, 1) + 1, 0, 1, TRUE), "")</f>
        <v>0.58070735106008253</v>
      </c>
      <c r="F2" s="52">
        <f>IFERROR(1-_xlfn.NORM.DIST(_xlfn.NORM.INV(SUM(F4:F5), 0, 1) + 1, 0, 1, TRUE), "")</f>
        <v>0.38766913185034979</v>
      </c>
      <c r="G2" s="52">
        <f>IFERROR(1-_xlfn.NORM.DIST(_xlfn.NORM.INV(SUM(G4:G5), 0, 1) + 1, 0, 1, TRUE), "")</f>
        <v>0.47489894505220975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0.32539121636561535</v>
      </c>
      <c r="D3" s="52">
        <f>IFERROR(_xlfn.NORM.DIST(_xlfn.NORM.INV(SUM(D4:D5), 0, 1) + 1, 0, 1, TRUE) - SUM(D4:D5), "")</f>
        <v>0.32539121636561535</v>
      </c>
      <c r="E3" s="52">
        <f>IFERROR(_xlfn.NORM.DIST(_xlfn.NORM.INV(SUM(E4:E5), 0, 1) + 1, 0, 1, TRUE) - SUM(E4:E5), "")</f>
        <v>0.30494052693991747</v>
      </c>
      <c r="F3" s="52">
        <f>IFERROR(_xlfn.NORM.DIST(_xlfn.NORM.INV(SUM(F4:F5), 0, 1) + 1, 0, 1, TRUE) - SUM(F4:F5), "")</f>
        <v>0.37490297014965024</v>
      </c>
      <c r="G3" s="52">
        <f>IFERROR(_xlfn.NORM.DIST(_xlfn.NORM.INV(SUM(G4:G5), 0, 1) + 1, 0, 1, TRUE) - SUM(G4:G5), "")</f>
        <v>0.35073191294779027</v>
      </c>
    </row>
    <row r="4" spans="1:15" ht="15.75" customHeight="1" x14ac:dyDescent="0.25">
      <c r="B4" s="5" t="s">
        <v>110</v>
      </c>
      <c r="C4" s="45">
        <v>7.6565332E-2</v>
      </c>
      <c r="D4" s="53">
        <v>7.6565332E-2</v>
      </c>
      <c r="E4" s="53">
        <v>8.913674399999999E-2</v>
      </c>
      <c r="F4" s="53">
        <v>0.17171834999999999</v>
      </c>
      <c r="G4" s="53">
        <v>0.13170572999999999</v>
      </c>
    </row>
    <row r="5" spans="1:15" ht="15.75" customHeight="1" x14ac:dyDescent="0.25">
      <c r="B5" s="5" t="s">
        <v>106</v>
      </c>
      <c r="C5" s="45">
        <v>6.0183295999999997E-2</v>
      </c>
      <c r="D5" s="53">
        <v>6.0183295999999997E-2</v>
      </c>
      <c r="E5" s="53">
        <v>2.5215378E-2</v>
      </c>
      <c r="F5" s="53">
        <v>6.5709548000000007E-2</v>
      </c>
      <c r="G5" s="53">
        <v>4.2663411999999998E-2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0.70041141962889797</v>
      </c>
      <c r="D8" s="52">
        <f>IFERROR(1-_xlfn.NORM.DIST(_xlfn.NORM.INV(SUM(D10:D11), 0, 1) + 1, 0, 1, TRUE), "")</f>
        <v>0.70041141962889797</v>
      </c>
      <c r="E8" s="52">
        <f>IFERROR(1-_xlfn.NORM.DIST(_xlfn.NORM.INV(SUM(E10:E11), 0, 1) + 1, 0, 1, TRUE), "")</f>
        <v>0.66699722266642614</v>
      </c>
      <c r="F8" s="52">
        <f>IFERROR(1-_xlfn.NORM.DIST(_xlfn.NORM.INV(SUM(F10:F11), 0, 1) + 1, 0, 1, TRUE), "")</f>
        <v>0.65419737153968127</v>
      </c>
      <c r="G8" s="52">
        <f>IFERROR(1-_xlfn.NORM.DIST(_xlfn.NORM.INV(SUM(G10:G11), 0, 1) + 1, 0, 1, TRUE), "")</f>
        <v>0.64555280061768983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0.23603185137110205</v>
      </c>
      <c r="D9" s="52">
        <f>IFERROR(_xlfn.NORM.DIST(_xlfn.NORM.INV(SUM(D10:D11), 0, 1) + 1, 0, 1, TRUE) - SUM(D10:D11), "")</f>
        <v>0.23603185137110205</v>
      </c>
      <c r="E9" s="52">
        <f>IFERROR(_xlfn.NORM.DIST(_xlfn.NORM.INV(SUM(E10:E11), 0, 1) + 1, 0, 1, TRUE) - SUM(E10:E11), "")</f>
        <v>0.25687885233357388</v>
      </c>
      <c r="F9" s="52">
        <f>IFERROR(_xlfn.NORM.DIST(_xlfn.NORM.INV(SUM(F10:F11), 0, 1) + 1, 0, 1, TRUE) - SUM(F10:F11), "")</f>
        <v>0.26454734946031871</v>
      </c>
      <c r="G9" s="52">
        <f>IFERROR(_xlfn.NORM.DIST(_xlfn.NORM.INV(SUM(G10:G11), 0, 1) + 1, 0, 1, TRUE) - SUM(G10:G11), "")</f>
        <v>0.26962407388231019</v>
      </c>
    </row>
    <row r="10" spans="1:15" ht="15.75" customHeight="1" x14ac:dyDescent="0.25">
      <c r="B10" s="5" t="s">
        <v>107</v>
      </c>
      <c r="C10" s="45">
        <v>4.7454947999999997E-2</v>
      </c>
      <c r="D10" s="53">
        <v>4.7454947999999997E-2</v>
      </c>
      <c r="E10" s="53">
        <v>6.6063932999999991E-2</v>
      </c>
      <c r="F10" s="53">
        <v>6.1305503999999997E-2</v>
      </c>
      <c r="G10" s="53">
        <v>7.5383500999999992E-2</v>
      </c>
    </row>
    <row r="11" spans="1:15" ht="15.75" customHeight="1" x14ac:dyDescent="0.25">
      <c r="B11" s="5" t="s">
        <v>119</v>
      </c>
      <c r="C11" s="45">
        <v>1.6101780999999999E-2</v>
      </c>
      <c r="D11" s="53">
        <v>1.6101780999999999E-2</v>
      </c>
      <c r="E11" s="53">
        <v>1.0059992E-2</v>
      </c>
      <c r="F11" s="53">
        <v>1.9949774999999999E-2</v>
      </c>
      <c r="G11" s="53">
        <v>9.4396245000000004E-3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0.89921624824999991</v>
      </c>
      <c r="D14" s="54">
        <v>0.88454178175099996</v>
      </c>
      <c r="E14" s="54">
        <v>0.88454178175099996</v>
      </c>
      <c r="F14" s="54">
        <v>0.71638189990300005</v>
      </c>
      <c r="G14" s="54">
        <v>0.71638189990300005</v>
      </c>
      <c r="H14" s="45">
        <v>0.58099999999999985</v>
      </c>
      <c r="I14" s="55">
        <v>0.58099999999999985</v>
      </c>
      <c r="J14" s="55">
        <v>0.58099999999999985</v>
      </c>
      <c r="K14" s="55">
        <v>0.58099999999999985</v>
      </c>
      <c r="L14" s="45">
        <v>0.49099999999999999</v>
      </c>
      <c r="M14" s="55">
        <v>0.49099999999999999</v>
      </c>
      <c r="N14" s="55">
        <v>0.49099999999999999</v>
      </c>
      <c r="O14" s="55">
        <v>0.49099999999999999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0.35949856310411582</v>
      </c>
      <c r="D15" s="52">
        <f t="shared" si="0"/>
        <v>0.35363184346801413</v>
      </c>
      <c r="E15" s="52">
        <f t="shared" si="0"/>
        <v>0.35363184346801413</v>
      </c>
      <c r="F15" s="52">
        <f t="shared" si="0"/>
        <v>0.28640303614412038</v>
      </c>
      <c r="G15" s="52">
        <f t="shared" si="0"/>
        <v>0.28640303614412038</v>
      </c>
      <c r="H15" s="52">
        <f t="shared" si="0"/>
        <v>0.23227857100000002</v>
      </c>
      <c r="I15" s="52">
        <f t="shared" si="0"/>
        <v>0.23227857100000002</v>
      </c>
      <c r="J15" s="52">
        <f t="shared" si="0"/>
        <v>0.23227857100000002</v>
      </c>
      <c r="K15" s="52">
        <f t="shared" si="0"/>
        <v>0.23227857100000002</v>
      </c>
      <c r="L15" s="52">
        <f t="shared" si="0"/>
        <v>0.19629738100000005</v>
      </c>
      <c r="M15" s="52">
        <f t="shared" si="0"/>
        <v>0.19629738100000005</v>
      </c>
      <c r="N15" s="52">
        <f t="shared" si="0"/>
        <v>0.19629738100000005</v>
      </c>
      <c r="O15" s="52">
        <f t="shared" si="0"/>
        <v>0.19629738100000005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RH1bJGpGvLfUqsmEUfvl7dnDE2UaAN8KVLSeewsNyokh62vIGu6Sxde2J5duT8erBxAyTZNaKhuqj2hoJ1RLhg==" saltValue="hlydJqD8c5C8sLtu8/csc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0.60487792969999998</v>
      </c>
      <c r="D2" s="53">
        <v>0.34281075</v>
      </c>
      <c r="E2" s="53"/>
      <c r="F2" s="53"/>
      <c r="G2" s="53"/>
    </row>
    <row r="3" spans="1:7" x14ac:dyDescent="0.25">
      <c r="B3" s="3" t="s">
        <v>127</v>
      </c>
      <c r="C3" s="53">
        <v>0.27744206999999999</v>
      </c>
      <c r="D3" s="53">
        <v>0.48379250000000001</v>
      </c>
      <c r="E3" s="53"/>
      <c r="F3" s="53"/>
      <c r="G3" s="53"/>
    </row>
    <row r="4" spans="1:7" x14ac:dyDescent="0.25">
      <c r="B4" s="3" t="s">
        <v>126</v>
      </c>
      <c r="C4" s="53">
        <v>9.1609411000000002E-2</v>
      </c>
      <c r="D4" s="53">
        <v>0.17043858000000001</v>
      </c>
      <c r="E4" s="53">
        <v>0.97205805778503407</v>
      </c>
      <c r="F4" s="53">
        <v>0.70281660556793202</v>
      </c>
      <c r="G4" s="53"/>
    </row>
    <row r="5" spans="1:7" x14ac:dyDescent="0.25">
      <c r="B5" s="3" t="s">
        <v>125</v>
      </c>
      <c r="C5" s="52">
        <v>2.6070580480000001E-2</v>
      </c>
      <c r="D5" s="52">
        <v>2.9581690000000001E-3</v>
      </c>
      <c r="E5" s="52">
        <f>1-SUM(E2:E4)</f>
        <v>2.7941942214965931E-2</v>
      </c>
      <c r="F5" s="52">
        <f>1-SUM(F2:F4)</f>
        <v>0.29718339443206798</v>
      </c>
      <c r="G5" s="52">
        <f>1-SUM(G2:G4)</f>
        <v>1</v>
      </c>
    </row>
  </sheetData>
  <sheetProtection algorithmName="SHA-512" hashValue="3HR85TvT4dwsUlLLfrJLQObx6LxaC+W3RB/CU1E3Pchua2Pyn8ZFACkark3fY5X+VR2XcChl+DOKKyOLCT099g==" saltValue="FyzyyqXIf7mE+rUCHfYnP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nvDvJlMo8Y3T8QEpgrAt2g6u7+i1NdUrZLAFPS4KoHasXqGdTGWSxvmQb8CkpYmtMObynBWUwh9rNDOEEoWTnQ==" saltValue="vNhgPrdca+5GA4+LKjhGr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x14ac:dyDescent="0.25">
      <c r="A2" s="8" t="s">
        <v>144</v>
      </c>
      <c r="B2" s="41">
        <v>10</v>
      </c>
    </row>
    <row r="3" spans="1:2" x14ac:dyDescent="0.25">
      <c r="A3" s="8" t="s">
        <v>143</v>
      </c>
      <c r="B3" s="41">
        <v>10</v>
      </c>
    </row>
    <row r="4" spans="1:2" x14ac:dyDescent="0.25">
      <c r="A4" s="8" t="s">
        <v>142</v>
      </c>
      <c r="B4" s="41">
        <v>10</v>
      </c>
    </row>
    <row r="5" spans="1:2" x14ac:dyDescent="0.25">
      <c r="A5" s="8" t="s">
        <v>146</v>
      </c>
      <c r="B5" s="41">
        <v>10</v>
      </c>
    </row>
    <row r="6" spans="1:2" x14ac:dyDescent="0.25">
      <c r="A6" s="8" t="s">
        <v>140</v>
      </c>
      <c r="B6" s="41">
        <v>10</v>
      </c>
    </row>
    <row r="7" spans="1:2" x14ac:dyDescent="0.25">
      <c r="A7" s="8" t="s">
        <v>141</v>
      </c>
      <c r="B7" s="41">
        <v>10</v>
      </c>
    </row>
  </sheetData>
  <sheetProtection algorithmName="SHA-512" hashValue="8F15zVUu0Pdf2amgr5U1qan9jWhLkdh51ZPpSRZ9pAtCoeUqI2gRV108Od+iUSREtp3LkhiUY2mFoVfo91ysYg==" saltValue="vityuxDZ3BWXhisOq2vDH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77</v>
      </c>
      <c r="C5" s="47"/>
      <c r="D5" s="47"/>
      <c r="E5" s="38" t="str">
        <f>IF(E$7="","",E$7)</f>
        <v/>
      </c>
    </row>
    <row r="6" spans="1:5" x14ac:dyDescent="0.25">
      <c r="B6" s="32" t="s">
        <v>75</v>
      </c>
      <c r="C6" s="47"/>
      <c r="D6" s="47"/>
      <c r="E6" s="38" t="str">
        <f>IF(E$7="","",E$7)</f>
        <v/>
      </c>
    </row>
    <row r="7" spans="1:5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5">
      <c r="B10" s="32" t="s">
        <v>78</v>
      </c>
      <c r="C10" s="47"/>
      <c r="D10" s="47"/>
      <c r="E10" s="38" t="str">
        <f>IF(E$7="","",E$7)</f>
        <v/>
      </c>
    </row>
    <row r="11" spans="1:5" x14ac:dyDescent="0.25">
      <c r="B11" s="32" t="s">
        <v>74</v>
      </c>
      <c r="C11" s="47"/>
      <c r="D11" s="47"/>
      <c r="E11" s="38" t="str">
        <f>IF(E$7="","",E$7)</f>
        <v/>
      </c>
    </row>
    <row r="12" spans="1:5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148</v>
      </c>
      <c r="C21" s="31"/>
      <c r="D21" s="30"/>
      <c r="E21" s="47"/>
    </row>
  </sheetData>
  <sheetProtection algorithmName="SHA-512" hashValue="SnKbej64S0rKbtmqedM7lIG8RBi/5JK0S25ac968DDqjO1LKXdUu/p50KBj5wrCVJaEAgfOKFe9iSY4XZafweg==" saltValue="k7D3v1i2NOhmgzP1LdrVX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qLkF9+zG/x7Ol0QyOkv0Bll0Fao5B8+IFSdHr5VXQEW39zd+L4DFlHvVKZHxxxJOFexPtayfu7WjJPzgciZJEA==" saltValue="NWZhFsEe4qPVLg0HVeiMy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0.42075353788611503</v>
      </c>
      <c r="C2" s="98">
        <v>0.95</v>
      </c>
      <c r="D2" s="56">
        <v>37.674044136829657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42.515974618172699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95.276832335016849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0.18599349155663891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13.53368651819329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13.53368651819329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13.53368651819329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13.53368651819329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13.53368651819329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13.53368651819329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0.477878111640059</v>
      </c>
      <c r="C16" s="98">
        <v>0.95</v>
      </c>
      <c r="D16" s="56">
        <v>0.27292212746013211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0.95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2.29252278591211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2.29252278591211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0.5975395966</v>
      </c>
      <c r="C21" s="98">
        <v>0.95</v>
      </c>
      <c r="D21" s="56">
        <v>2.058189912020167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23.091298552496731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7.830531600000001E-3</v>
      </c>
      <c r="C23" s="98">
        <v>0.95</v>
      </c>
      <c r="D23" s="56">
        <v>4.4572760576653501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0.66373226252460393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0.24741982995936801</v>
      </c>
      <c r="C27" s="98">
        <v>0.95</v>
      </c>
      <c r="D27" s="56">
        <v>19.533413866398011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0.25979030609999998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67.189961183789833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</v>
      </c>
      <c r="C31" s="98">
        <v>0.95</v>
      </c>
      <c r="D31" s="56">
        <v>0.97081733578609719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0.34281075</v>
      </c>
      <c r="C32" s="98">
        <v>0.95</v>
      </c>
      <c r="D32" s="56">
        <v>0.53432972574311388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0.514739895210374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0.56999999999999995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0.31479927060000001</v>
      </c>
      <c r="C38" s="98">
        <v>0.95</v>
      </c>
      <c r="D38" s="56">
        <v>5.5246864466378502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0.1933212852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j5xcBDrvEUeFAvGDhxKK4GjiZ1m5qb0kbXpp1tQzyJWay3oCJ66tH2kW9tKzZ8dbE0FDt6fGNU84gfcejLr7ZA==" saltValue="Aw7i1ntkES4S3u9zjX2Ju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x14ac:dyDescent="0.25">
      <c r="A2" s="57" t="s">
        <v>178</v>
      </c>
      <c r="B2" s="47" t="s">
        <v>191</v>
      </c>
      <c r="C2" s="47"/>
    </row>
    <row r="3" spans="1:3" x14ac:dyDescent="0.25">
      <c r="A3" s="57" t="s">
        <v>179</v>
      </c>
      <c r="B3" s="47" t="s">
        <v>191</v>
      </c>
      <c r="C3" s="47"/>
    </row>
    <row r="4" spans="1:3" x14ac:dyDescent="0.25">
      <c r="A4" s="57" t="s">
        <v>193</v>
      </c>
      <c r="B4" s="47" t="s">
        <v>184</v>
      </c>
      <c r="C4" s="47"/>
    </row>
    <row r="5" spans="1:3" x14ac:dyDescent="0.25">
      <c r="A5" s="57" t="s">
        <v>190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xyusm6ZgWmDYNQlLYfwN6ZXsiwTkbsbxT+hn1kHrKZIFJyd3gu4AP2se2Z0kL7E9FvgFXfM/Gb1LTLwFbL+ylQ==" saltValue="3XAEG4/oSSvtzGwSjPBiA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x14ac:dyDescent="0.25">
      <c r="A2" s="33" t="s">
        <v>170</v>
      </c>
    </row>
    <row r="3" spans="1:1" x14ac:dyDescent="0.25">
      <c r="A3" s="33" t="s">
        <v>180</v>
      </c>
    </row>
    <row r="4" spans="1:1" x14ac:dyDescent="0.25">
      <c r="A4" s="33" t="s">
        <v>185</v>
      </c>
    </row>
    <row r="5" spans="1:1" x14ac:dyDescent="0.25">
      <c r="A5" s="33" t="s">
        <v>197</v>
      </c>
    </row>
    <row r="6" spans="1:1" x14ac:dyDescent="0.25">
      <c r="A6" s="33" t="s">
        <v>198</v>
      </c>
    </row>
    <row r="7" spans="1:1" x14ac:dyDescent="0.25">
      <c r="A7" s="33" t="s">
        <v>199</v>
      </c>
    </row>
    <row r="8" spans="1:1" x14ac:dyDescent="0.25">
      <c r="A8" s="33" t="s">
        <v>200</v>
      </c>
    </row>
    <row r="9" spans="1:1" x14ac:dyDescent="0.25">
      <c r="A9" s="33" t="s">
        <v>201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28kL8Dbk+EhxQP69s/sh91Ujz1VKOSWkD2FlfnAfMhGaXzn5ZpwtsRhtQKI/z+yEGZL70uMW3tXhvvll2xAKqw==" saltValue="KqW7pVkpDKGG6TS2/2sJp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3.3</v>
      </c>
      <c r="C2" s="21">
        <f>'Entradas de población-año base'!C52</f>
        <v>3.3</v>
      </c>
      <c r="D2" s="21">
        <f>'Entradas de población-año base'!C53</f>
        <v>3.3</v>
      </c>
      <c r="E2" s="21">
        <f>'Entradas de población-año base'!C54</f>
        <v>3.3</v>
      </c>
      <c r="F2" s="21">
        <f>'Entradas de población-año base'!C55</f>
        <v>3.3</v>
      </c>
    </row>
    <row r="3" spans="1:6" ht="15.75" customHeight="1" x14ac:dyDescent="0.25">
      <c r="A3" s="3" t="s">
        <v>6</v>
      </c>
      <c r="B3" s="21">
        <f>frac_mam_1month * 2.6</f>
        <v>0.12338286479999999</v>
      </c>
      <c r="C3" s="21">
        <f>frac_mam_1_5months * 2.6</f>
        <v>0.12338286479999999</v>
      </c>
      <c r="D3" s="21">
        <f>frac_mam_6_11months * 2.6</f>
        <v>0.17176622579999998</v>
      </c>
      <c r="E3" s="21">
        <f>frac_mam_12_23months * 2.6</f>
        <v>0.15939431039999999</v>
      </c>
      <c r="F3" s="21">
        <f>frac_mam_24_59months * 2.6</f>
        <v>0.19599710259999997</v>
      </c>
    </row>
    <row r="4" spans="1:6" ht="15.75" customHeight="1" x14ac:dyDescent="0.25">
      <c r="A4" s="3" t="s">
        <v>207</v>
      </c>
      <c r="B4" s="21">
        <f>frac_sam_1month * 2.6</f>
        <v>4.1864630600000001E-2</v>
      </c>
      <c r="C4" s="21">
        <f>frac_sam_1_5months * 2.6</f>
        <v>4.1864630600000001E-2</v>
      </c>
      <c r="D4" s="21">
        <f>frac_sam_6_11months * 2.6</f>
        <v>2.6155979200000002E-2</v>
      </c>
      <c r="E4" s="21">
        <f>frac_sam_12_23months * 2.6</f>
        <v>5.1869415000000002E-2</v>
      </c>
      <c r="F4" s="21">
        <f>frac_sam_24_59months * 2.6</f>
        <v>2.4543023700000003E-2</v>
      </c>
    </row>
  </sheetData>
  <sheetProtection algorithmName="SHA-512" hashValue="JXKBx5ErNijV0Uisbuyo/nte3vgLDEccPjc4BItUeaVCuxGqGMciosX9i2aJGc3JMPxafNo8UdqorKNj6QuCbA==" saltValue="clfF+2rhCEaJvQyJlgLD6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0.38</v>
      </c>
      <c r="E2" s="60">
        <f>food_insecure</f>
        <v>0.38</v>
      </c>
      <c r="F2" s="60">
        <f>food_insecure</f>
        <v>0.38</v>
      </c>
      <c r="G2" s="60">
        <f>food_insecure</f>
        <v>0.38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0.38</v>
      </c>
      <c r="F5" s="60">
        <f>food_insecure</f>
        <v>0.38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0.38</v>
      </c>
      <c r="F8" s="60">
        <f>food_insecure</f>
        <v>0.38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0.38</v>
      </c>
      <c r="F9" s="60">
        <f>food_insecure</f>
        <v>0.38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0.48199999999999998</v>
      </c>
      <c r="E10" s="60">
        <f>IF(ISBLANK(comm_deliv), frac_children_health_facility,1)</f>
        <v>0.48199999999999998</v>
      </c>
      <c r="F10" s="60">
        <f>IF(ISBLANK(comm_deliv), frac_children_health_facility,1)</f>
        <v>0.48199999999999998</v>
      </c>
      <c r="G10" s="60">
        <f>IF(ISBLANK(comm_deliv), frac_children_health_facility,1)</f>
        <v>0.48199999999999998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0.38</v>
      </c>
      <c r="I15" s="60">
        <f>food_insecure</f>
        <v>0.38</v>
      </c>
      <c r="J15" s="60">
        <f>food_insecure</f>
        <v>0.38</v>
      </c>
      <c r="K15" s="60">
        <f>food_insecure</f>
        <v>0.38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0.53799999999999992</v>
      </c>
      <c r="I18" s="60">
        <f>frac_PW_health_facility</f>
        <v>0.53799999999999992</v>
      </c>
      <c r="J18" s="60">
        <f>frac_PW_health_facility</f>
        <v>0.53799999999999992</v>
      </c>
      <c r="K18" s="60">
        <f>frac_PW_health_facility</f>
        <v>0.53799999999999992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0.97</v>
      </c>
      <c r="I19" s="60">
        <f>frac_malaria_risk</f>
        <v>0.97</v>
      </c>
      <c r="J19" s="60">
        <f>frac_malaria_risk</f>
        <v>0.97</v>
      </c>
      <c r="K19" s="60">
        <f>frac_malaria_risk</f>
        <v>0.97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0.52600000000000002</v>
      </c>
      <c r="M24" s="60">
        <f>famplan_unmet_need</f>
        <v>0.52600000000000002</v>
      </c>
      <c r="N24" s="60">
        <f>famplan_unmet_need</f>
        <v>0.52600000000000002</v>
      </c>
      <c r="O24" s="60">
        <f>famplan_unmet_need</f>
        <v>0.52600000000000002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0.34833685229492195</v>
      </c>
      <c r="M25" s="60">
        <f>(1-food_insecure)*(0.49)+food_insecure*(0.7)</f>
        <v>0.56979999999999997</v>
      </c>
      <c r="N25" s="60">
        <f>(1-food_insecure)*(0.49)+food_insecure*(0.7)</f>
        <v>0.56979999999999997</v>
      </c>
      <c r="O25" s="60">
        <f>(1-food_insecure)*(0.49)+food_insecure*(0.7)</f>
        <v>0.56979999999999997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0.1492872224121094</v>
      </c>
      <c r="M26" s="60">
        <f>(1-food_insecure)*(0.21)+food_insecure*(0.3)</f>
        <v>0.24419999999999997</v>
      </c>
      <c r="N26" s="60">
        <f>(1-food_insecure)*(0.21)+food_insecure*(0.3)</f>
        <v>0.24419999999999997</v>
      </c>
      <c r="O26" s="60">
        <f>(1-food_insecure)*(0.21)+food_insecure*(0.3)</f>
        <v>0.24419999999999997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0.11370771240234376</v>
      </c>
      <c r="M27" s="60">
        <f>(1-food_insecure)*(0.3)</f>
        <v>0.186</v>
      </c>
      <c r="N27" s="60">
        <f>(1-food_insecure)*(0.3)</f>
        <v>0.186</v>
      </c>
      <c r="O27" s="60">
        <f>(1-food_insecure)*(0.3)</f>
        <v>0.186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0.38866821289062498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0.97</v>
      </c>
      <c r="D34" s="60">
        <f t="shared" si="3"/>
        <v>0.97</v>
      </c>
      <c r="E34" s="60">
        <f t="shared" si="3"/>
        <v>0.97</v>
      </c>
      <c r="F34" s="60">
        <f t="shared" si="3"/>
        <v>0.97</v>
      </c>
      <c r="G34" s="60">
        <f t="shared" si="3"/>
        <v>0.97</v>
      </c>
      <c r="H34" s="60">
        <f t="shared" si="3"/>
        <v>0.97</v>
      </c>
      <c r="I34" s="60">
        <f t="shared" si="3"/>
        <v>0.97</v>
      </c>
      <c r="J34" s="60">
        <f t="shared" si="3"/>
        <v>0.97</v>
      </c>
      <c r="K34" s="60">
        <f t="shared" si="3"/>
        <v>0.97</v>
      </c>
      <c r="L34" s="60">
        <f t="shared" si="3"/>
        <v>0.97</v>
      </c>
      <c r="M34" s="60">
        <f t="shared" si="3"/>
        <v>0.97</v>
      </c>
      <c r="N34" s="60">
        <f t="shared" si="3"/>
        <v>0.97</v>
      </c>
      <c r="O34" s="60">
        <f t="shared" si="3"/>
        <v>0.97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W4Iwmd4rauIHHcqle9EQvdS8tYWLffz5/EhJGIXXWuqCHqXh2QYyWg01sNcmvEF4HzeVqOymQLDW5gG3vhg7Og==" saltValue="Uo2C3HF16qtpkF8IMaj2f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i3EBTx4yyO2LeRJuIQh3n+Pn12Tn0mRGJhSgsV2DSl5Etkg1KVepuJlEFX3ofL/ZUoofaEIJDiHFc0YDJ70keQ==" saltValue="l0AinYf21m2fGx1V9ANx6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gt5AUC141xYuZgMBXnEWuOzzuMS5CJmAkVV76hR4k3xTHBGOS0Wks6gmEE/jo4L6TFusnx0Xgcsm1C/Aoy4Tqg==" saltValue="K4R5O0PD3HsnHPzH5BmQF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D+XO88+20ba8+fiWa7nWkAsGK5uT08qP1fUS5vAGKAIEVMjTeexmxjBuThah99ycrd/LA3ZfHnYXB+to3zyFlw==" saltValue="wo3enD3S5LrpKGAeYAfByA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IMGnWShcjT0/0cNbxoml2F4xluAsBq0mxPjR74kFaMJrykzWvfQTRV5/jHEnF3YMl4JptqgBWWMEZnatAJse/g==" saltValue="p9l2caMCow29EC3bo7w0Ng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oIlX3xt/LvCWzQAAAnylYSTpj0Jd1C2ybwp0/l7HDcHkP0bn3KCGj1ZkrklR7MpDoI9qRIY2tcYNtzBGlBvOPQ==" saltValue="w5Vs/HDi3I5nQ3KgmLJrg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78</v>
      </c>
      <c r="C5" s="8" t="s">
        <v>150</v>
      </c>
      <c r="D5" s="88">
        <f>IF(ISBLANK('Distribución de lactancia'!$C$2),1.56,(1.56-'Distribución de lactancia'!$C$2)/(1-'Distribución de lactancia'!$C$2))</f>
        <v>2.4172835234812751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149</v>
      </c>
      <c r="D6" s="88">
        <f>IF(ISBLANK('Distribución de lactancia'!$C$2),1.56,(1.56-'Distribución de lactancia'!$C$2)/(1-'Distribución de lactancia'!$C$2))</f>
        <v>2.4172835234812751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74</v>
      </c>
      <c r="C8" s="8" t="s">
        <v>150</v>
      </c>
      <c r="D8" s="88">
        <v>1</v>
      </c>
      <c r="E8" s="88">
        <f>IF(ISBLANK('Distribución de lactancia'!$D$2),1.56,(1.56-'Distribución de lactancia'!$D$2)/(1-'Distribución de lactancia'!$D$2))</f>
        <v>1.8521137556647496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149</v>
      </c>
      <c r="D9" s="88">
        <v>1</v>
      </c>
      <c r="E9" s="88">
        <f>IF(ISBLANK('Distribución de lactancia'!$D$2),1.56,(1.56-'Distribución de lactancia'!$D$2)/(1-'Distribución de lactancia'!$D$2))</f>
        <v>1.8521137556647496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IF(ISBLANK('Distribución de lactancia'!$C$2),1.37,(1.37-'Distribución de lactancia'!$C$2)/(1-'Distribución de lactancia'!$C$2))</f>
        <v>1.9364194708715567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IF(ISBLANK('Distribución de lactancia'!$C$2),1.37,(1.37-'Distribución de lactancia'!$C$2)/(1-'Distribución de lactancia'!$C$2))</f>
        <v>1.9364194708715567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IF(ISBLANK('Distribución de lactancia'!$D$2),1.37,(1.37-'Distribución de lactancia'!$D$2)/(1-'Distribución de lactancia'!$D$2))</f>
        <v>1.5630037314213525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IF(ISBLANK('Distribución de lactancia'!$D$2),1.37,(1.37-'Distribución de lactancia'!$D$2)/(1-'Distribución de lactancia'!$D$2))</f>
        <v>1.5630037314213525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IF(ISBLANK('Distribución de lactancia'!$C$2),1.77,(1.77-'Distribución de lactancia'!$C$2)/(1-'Distribución de lactancia'!$C$2))</f>
        <v>2.9487648447867532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IF(ISBLANK('Distribución de lactancia'!$C$2),1.77,(1.77-'Distribución de lactancia'!$C$2)/(1-'Distribución de lactancia'!$C$2))</f>
        <v>2.9487648447867532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IF(ISBLANK('Distribución de lactancia'!$D$2),1.77,(1.77-'Distribución de lactancia'!$D$2)/(1-'Distribución de lactancia'!$D$2))</f>
        <v>2.1716564140390306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IF(ISBLANK('Distribución de lactancia'!$D$2),1.77,(1.77-'Distribución de lactancia'!$D$2)/(1-'Distribución de lactancia'!$D$2))</f>
        <v>2.1716564140390306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+Awv6P/AKrBpa1ZKHbLYAA0CPOgPeN4V6a8+SQwtItIBObDnRvQc3la14PbBKl3wpx7oLRy7dhzhWGttEpKx+g==" saltValue="0zeJmdxsNFLZSjl0RAd36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/qittjvOsDGBf1O7Y6JfdDvgRDmatHyuxFB8dZP/fFPq2jkFx3CjtVnglv1p5WqS1UPmYWbAMKPwWIiV4Sf+iQ==" saltValue="nntowm3f2a/2xRvWGkAmd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U6W7lN26Akt8rU8D8/9St4YOmFRONIC3yOd6pTbwWgk6gHbATcxRXxKl2NlVbivvagGjLRN+2fMpTMflvEq48g==" saltValue="S+d5YXeXJcHEIy4/HXNpM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0.61157281756552773</v>
      </c>
      <c r="F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0.61157281756552773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0.86657328763214148</v>
      </c>
      <c r="F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0.86657328763214148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0.86657328763214148</v>
      </c>
      <c r="F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0.86657328763214148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0.41033083507358653</v>
      </c>
      <c r="F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0.41033083507358653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0.83385037183206256</v>
      </c>
      <c r="F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0.83385037183206256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0.83385037183206256</v>
      </c>
      <c r="F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0.83385037183206256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0.91059415137084132</v>
      </c>
      <c r="F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0.91059415137084132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0.89954679632861601</v>
      </c>
      <c r="F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0.89954679632861601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0.89954679632861601</v>
      </c>
      <c r="F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0.89954679632861601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CIOXo70GEnntVxaRP6fb79g0PIFFbyYzhO7MrjgDpAbBMi2wLX6JRP2oZDu7jphFAp6ImtdtvGIIDyYDl9fSiA==" saltValue="768wMWHidzPJB06EiKUFP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x7kxdQ/dHrGVWNxJ3awKgl7KKKAoWBtVhQJZXa2gngVQWJJCU/zZfmoCr/MkDSb5rXMwTcUajFjhkHwi8F4/w==" saltValue="bpdpyUfyGQXHJyoMs/wNj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0.22892610389739715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0.42173256894279065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0.42173256894279065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0.5186356759730435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0.5186356759730435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0.5186356759730435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0.5186356759730435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0.56688528647444636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0.56688528647444636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0.56688528647444636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0.56688528647444636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0.31592727289644412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0.53150014972401527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0.53150014972401527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0.6263079222720479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0.6263079222720479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0.6263079222720479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0.6263079222720479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0.67061923583662719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0.67061923583662719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0.67061923583662719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0.67061923583662719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175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177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178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179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180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190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191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204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172</v>
      </c>
      <c r="C42" s="90">
        <f t="shared" ref="C42:D44" si="14">IF(C19=1,1,C19*0.9)</f>
        <v>1</v>
      </c>
      <c r="D42" s="90">
        <f t="shared" si="14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0.11936009126521591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0.24978036592709035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0.24978036592709035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0.32970011365954605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0.32970011365954605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0.32970011365954605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0.32970011365954605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0.374030427564434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0.374030427564434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0.374030427564434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0.374030427564434</v>
      </c>
    </row>
    <row r="43" spans="1:15" x14ac:dyDescent="0.25">
      <c r="B43" s="5" t="s">
        <v>173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181</v>
      </c>
      <c r="C44" s="90">
        <f t="shared" si="14"/>
        <v>1</v>
      </c>
      <c r="D44" s="90">
        <f t="shared" si="14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0.21222780582601242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0.3982340215353587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0.3982340215353587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0.49435361537165018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0.49435361537165018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0.49435361537165018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0.49435361537165018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0.54289197013560853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0.54289197013560853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0.54289197013560853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0.54289197013560853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174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175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176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177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178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179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180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190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191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204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172</v>
      </c>
      <c r="C65" s="90">
        <f t="shared" ref="C65:D67" si="30">IF(C19=1,1,C19*1.05)</f>
        <v>1</v>
      </c>
      <c r="D65" s="90">
        <f t="shared" si="3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0.78872416904328879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0.90167466307602895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0.90167466307602895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0.93126045413926617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0.93126045413926617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0.93126045413926617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0.93126045413926617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0.94271857636568446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0.94271857636568446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0.94271857636568446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0.94271857636568446</v>
      </c>
    </row>
    <row r="66" spans="2:15" x14ac:dyDescent="0.25">
      <c r="B66" s="5" t="s">
        <v>173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181</v>
      </c>
      <c r="C67" s="90">
        <f t="shared" si="30"/>
        <v>1</v>
      </c>
      <c r="D67" s="90">
        <f t="shared" si="3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0.57040420206438758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0.76534679760778934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0.76534679760778934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0.82813439890006024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0.82813439890006024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0.82813439890006024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0.82813439890006024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0.85408915152841614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0.85408915152841614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0.85408915152841614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0.85408915152841614</v>
      </c>
    </row>
  </sheetData>
  <sheetProtection algorithmName="SHA-512" hashValue="BzeZVuFzFMtGu7hIcQ8sEjaw00UH3uprcrkMaEWB5HJHCS3Zq22Z9G5b1SsA6TmFuQzijBgJajyZuu18uTCGiA==" saltValue="Ndq5o0BCZSAdHzyDhWL1j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x14ac:dyDescent="0.25">
      <c r="B3" s="11" t="s">
        <v>164</v>
      </c>
      <c r="C3" s="90">
        <v>1</v>
      </c>
      <c r="D3" s="90">
        <f>IF(ISBLANK('Distribución estado nutricional'!D$11),0.86,(0.86*'Distribución estado nutricional'!D$11/(1-0.86*'Distribución estado nutricional'!D$11))
/ ('Distribución estado nutricional'!D$11/(1-'Distribución estado nutricional'!D$11)))</f>
        <v>0.85803412302393423</v>
      </c>
      <c r="E3" s="90">
        <f>IF(ISBLANK('Distribución estado nutricional'!E$11),0.86,(0.86*'Distribución estado nutricional'!E$11/(1-0.86*'Distribución estado nutricional'!E$11))
/ ('Distribución estado nutricional'!E$11/(1-'Distribución estado nutricional'!E$11)))</f>
        <v>0.8587782065029872</v>
      </c>
      <c r="F3" s="90">
        <f>IF(ISBLANK('Distribución estado nutricional'!F$11),0.86,(0.86*'Distribución estado nutricional'!F$11/(1-0.86*'Distribución estado nutricional'!F$11))
/ ('Distribución estado nutricional'!F$11/(1-'Distribución estado nutricional'!F$11)))</f>
        <v>0.85755611787731223</v>
      </c>
      <c r="G3" s="90">
        <f>IF(ISBLANK('Distribución estado nutricional'!G$11),0.86,(0.86*'Distribución estado nutricional'!G$11/(1-0.86*'Distribución estado nutricional'!G$11))
/ ('Distribución estado nutricional'!G$11/(1-'Distribución estado nutricional'!G$11)))</f>
        <v>0.85885416725163932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x14ac:dyDescent="0.25">
      <c r="B5" s="5" t="s">
        <v>162</v>
      </c>
      <c r="C5" s="90">
        <v>1</v>
      </c>
      <c r="D5" s="90">
        <f>IF(ISBLANK('Distribución estado nutricional'!D$10),0.86,(0.86*'Distribución estado nutricional'!D$10/(1-0.86*'Distribución estado nutricional'!D$10))
/ ('Distribución estado nutricional'!D$10/(1-'Distribución estado nutricional'!D$10)))</f>
        <v>0.85404332487151136</v>
      </c>
      <c r="E5" s="90">
        <f>IF(ISBLANK('Distribución estado nutricional'!E$10),0.86,(0.86*'Distribución estado nutricional'!E$10/(1-0.86*'Distribución estado nutricional'!E$10))
/ ('Distribución estado nutricional'!E$10/(1-'Distribución estado nutricional'!E$10)))</f>
        <v>0.85156676857180025</v>
      </c>
      <c r="F5" s="90">
        <f>IF(ISBLANK('Distribución estado nutricional'!F$10),0.86,(0.86*'Distribución estado nutricional'!F$10/(1-0.86*'Distribución estado nutricional'!F$10))
/ ('Distribución estado nutricional'!F$10/(1-'Distribución estado nutricional'!F$10)))</f>
        <v>0.85220800187847368</v>
      </c>
      <c r="G5" s="90">
        <f>IF(ISBLANK('Distribución estado nutricional'!G$10),0.86,(0.86*'Distribución estado nutricional'!G$10/(1-0.86*'Distribución estado nutricional'!G$10))
/ ('Distribución estado nutricional'!G$10/(1-'Distribución estado nutricional'!G$10)))</f>
        <v>0.85029462912120124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x14ac:dyDescent="0.25">
      <c r="B10" s="11" t="s">
        <v>164</v>
      </c>
      <c r="C10" s="90">
        <f>C3*0.9</f>
        <v>0.9</v>
      </c>
      <c r="D10" s="90">
        <f>D3*0.9</f>
        <v>0.77223071072154081</v>
      </c>
      <c r="E10" s="90">
        <f>E3*0.9</f>
        <v>0.7729003858526885</v>
      </c>
      <c r="F10" s="90">
        <f>F3*0.9</f>
        <v>0.77180050608958106</v>
      </c>
      <c r="G10" s="90">
        <f>G3*0.9</f>
        <v>0.7729687505264754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x14ac:dyDescent="0.25">
      <c r="B12" s="5" t="s">
        <v>162</v>
      </c>
      <c r="C12" s="90">
        <f>C5*0.9</f>
        <v>0.9</v>
      </c>
      <c r="D12" s="90">
        <f>D5*0.9</f>
        <v>0.76863899238436029</v>
      </c>
      <c r="E12" s="90">
        <f>E5*0.9</f>
        <v>0.76641009171462027</v>
      </c>
      <c r="F12" s="90">
        <f>F5*0.9</f>
        <v>0.76698720169062629</v>
      </c>
      <c r="G12" s="90">
        <f>G5*0.9</f>
        <v>0.76526516620908114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x14ac:dyDescent="0.25">
      <c r="B17" s="11" t="s">
        <v>164</v>
      </c>
      <c r="C17" s="90">
        <f>C3*1.05</f>
        <v>1.05</v>
      </c>
      <c r="D17" s="90">
        <f>D3*1.05</f>
        <v>0.90093582917513093</v>
      </c>
      <c r="E17" s="90">
        <f>E3*1.05</f>
        <v>0.9017171168281366</v>
      </c>
      <c r="F17" s="90">
        <f>F3*1.05</f>
        <v>0.90043392377117792</v>
      </c>
      <c r="G17" s="90">
        <f>G3*1.05</f>
        <v>0.90179687561422128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x14ac:dyDescent="0.25">
      <c r="B19" s="5" t="s">
        <v>162</v>
      </c>
      <c r="C19" s="90">
        <f>C5*1.05</f>
        <v>1.05</v>
      </c>
      <c r="D19" s="90">
        <f>D5*1.05</f>
        <v>0.89674549111508695</v>
      </c>
      <c r="E19" s="90">
        <f>E5*1.05</f>
        <v>0.89414510700039029</v>
      </c>
      <c r="F19" s="90">
        <f>F5*1.05</f>
        <v>0.89481840197239737</v>
      </c>
      <c r="G19" s="90">
        <f>G5*1.05</f>
        <v>0.89280936057726135</v>
      </c>
    </row>
  </sheetData>
  <sheetProtection algorithmName="SHA-512" hashValue="sFY89G10nXjHLTNx2RCAJQ2HYHra+/UK8gXJHd19eC2X+BKeeCN5LMk3+emgZ58CHGhtsdHF67QY9aT/BwA+0A==" saltValue="yf5G6XTS0NrlZp5nsKV8K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338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338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338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338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338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338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338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338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204</v>
      </c>
      <c r="B68" s="5" t="s">
        <v>207</v>
      </c>
      <c r="C68" s="5" t="s">
        <v>337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338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338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338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338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338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338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338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102</v>
      </c>
      <c r="C100" s="5" t="s">
        <v>337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338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338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338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6</v>
      </c>
      <c r="C117" s="5" t="s">
        <v>337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338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338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6</v>
      </c>
      <c r="C121" s="5" t="s">
        <v>337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338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338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338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338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338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338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338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338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338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102</v>
      </c>
      <c r="C155" s="5" t="s">
        <v>337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338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9H9TBhjpcBBFfLN9eQqOpFcM95GZndW8bP0cPEM98/a2ja7TAeSM1LC5ZoUEnoGkHrR74yvCd8AiWdZ9MnqJ6g==" saltValue="erxkZKiKP0/QZJJs3XShl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5">
      <c r="A11" s="3" t="s">
        <v>166</v>
      </c>
      <c r="B11" s="8" t="s">
        <v>86</v>
      </c>
      <c r="C11" s="3" t="s">
        <v>337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189</v>
      </c>
      <c r="B13" s="8" t="s">
        <v>86</v>
      </c>
      <c r="C13" s="3" t="s">
        <v>337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5">
      <c r="A20" s="3" t="s">
        <v>166</v>
      </c>
      <c r="B20" s="8" t="s">
        <v>86</v>
      </c>
      <c r="C20" s="3" t="s">
        <v>337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189</v>
      </c>
      <c r="B22" s="8" t="s">
        <v>86</v>
      </c>
      <c r="C22" s="3" t="s">
        <v>337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188</v>
      </c>
      <c r="B24" s="8" t="s">
        <v>86</v>
      </c>
      <c r="C24" s="3" t="s">
        <v>337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l5Sy2jimRRPP1Lt50W294geRuOloZEzrq9HH4R1d1c+bbXXk+aG1zg7svRRjJCji6xAAjle8LW6eX2IhBPY07Q==" saltValue="LgG0bDLZVKmL3D8v/ujbh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2024-03-15T02:32:02Z</dcterms:modified>
</cp:coreProperties>
</file>