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FA376519-DEEF-4AB5-A0A3-CC2B0DB4749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C12" i="26"/>
  <c r="E10" i="26"/>
  <c r="C10" i="26"/>
  <c r="G5" i="26"/>
  <c r="G19" i="26" s="1"/>
  <c r="F5" i="26"/>
  <c r="F19" i="26" s="1"/>
  <c r="E5" i="26"/>
  <c r="E19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32" i="2"/>
  <c r="A29" i="2"/>
  <c r="A24" i="2"/>
  <c r="A23" i="2"/>
  <c r="A21" i="2"/>
  <c r="A17" i="2"/>
  <c r="A15" i="2"/>
  <c r="H11" i="2"/>
  <c r="G11" i="2"/>
  <c r="I11" i="2" s="1"/>
  <c r="H10" i="2"/>
  <c r="G10" i="2"/>
  <c r="H9" i="2"/>
  <c r="G9" i="2"/>
  <c r="H8" i="2"/>
  <c r="G8" i="2"/>
  <c r="H7" i="2"/>
  <c r="G7" i="2"/>
  <c r="I7" i="2" s="1"/>
  <c r="H6" i="2"/>
  <c r="G6" i="2"/>
  <c r="H5" i="2"/>
  <c r="G5" i="2"/>
  <c r="H4" i="2"/>
  <c r="G4" i="2"/>
  <c r="H3" i="2"/>
  <c r="G3" i="2"/>
  <c r="I3" i="2" s="1"/>
  <c r="A3" i="2"/>
  <c r="H2" i="2"/>
  <c r="G2" i="2"/>
  <c r="I2" i="2" s="1"/>
  <c r="A2" i="2"/>
  <c r="A36" i="2" s="1"/>
  <c r="C33" i="1"/>
  <c r="C20" i="1"/>
  <c r="I6" i="2" l="1"/>
  <c r="I10" i="2"/>
  <c r="I4" i="2"/>
  <c r="I8" i="2"/>
  <c r="A13" i="2"/>
  <c r="A31" i="2"/>
  <c r="I40" i="2"/>
  <c r="E12" i="26"/>
  <c r="I5" i="2"/>
  <c r="I9" i="2"/>
  <c r="A16" i="2"/>
  <c r="A37" i="2"/>
  <c r="F12" i="26"/>
  <c r="A14" i="2"/>
  <c r="A22" i="2"/>
  <c r="A30" i="2"/>
  <c r="A38" i="2"/>
  <c r="A40" i="2"/>
  <c r="D10" i="26"/>
  <c r="G12" i="26"/>
  <c r="F10" i="26"/>
  <c r="A25" i="2"/>
  <c r="A33" i="2"/>
  <c r="G10" i="26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<sst xmlns="http://schemas.openxmlformats.org/spreadsheetml/2006/main" count="2092" uniqueCount="341">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</sst>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1175777.671875</v>
      </c>
    </row>
    <row r="8" spans="1:3" ht="15" customHeight="1" x14ac:dyDescent="0.25">
      <c r="B8" s="5" t="s">
        <v>44</v>
      </c>
      <c r="C8" s="44">
        <v>0.40100000000000002</v>
      </c>
    </row>
    <row r="9" spans="1:3" ht="15" customHeight="1" x14ac:dyDescent="0.25">
      <c r="B9" s="5" t="s">
        <v>43</v>
      </c>
      <c r="C9" s="45">
        <v>0.99900000000000011</v>
      </c>
    </row>
    <row r="10" spans="1:3" ht="15" customHeight="1" x14ac:dyDescent="0.25">
      <c r="B10" s="5" t="s">
        <v>56</v>
      </c>
      <c r="C10" s="45">
        <v>0.369639015197754</v>
      </c>
    </row>
    <row r="11" spans="1:3" ht="15" customHeight="1" x14ac:dyDescent="0.25">
      <c r="B11" s="5" t="s">
        <v>49</v>
      </c>
      <c r="C11" s="45">
        <v>0.76</v>
      </c>
    </row>
    <row r="12" spans="1:3" ht="15" customHeight="1" x14ac:dyDescent="0.25">
      <c r="B12" s="5" t="s">
        <v>41</v>
      </c>
      <c r="C12" s="45">
        <v>0.71700000000000008</v>
      </c>
    </row>
    <row r="13" spans="1:3" ht="15" customHeight="1" x14ac:dyDescent="0.25">
      <c r="B13" s="5" t="s">
        <v>62</v>
      </c>
      <c r="C13" s="45">
        <v>0.625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0.13070000000000001</v>
      </c>
    </row>
    <row r="24" spans="1:3" ht="15" customHeight="1" x14ac:dyDescent="0.25">
      <c r="B24" s="15" t="s">
        <v>46</v>
      </c>
      <c r="C24" s="45">
        <v>0.4617</v>
      </c>
    </row>
    <row r="25" spans="1:3" ht="15" customHeight="1" x14ac:dyDescent="0.25">
      <c r="B25" s="15" t="s">
        <v>47</v>
      </c>
      <c r="C25" s="45">
        <v>0.31919999999999998</v>
      </c>
    </row>
    <row r="26" spans="1:3" ht="15" customHeight="1" x14ac:dyDescent="0.25">
      <c r="B26" s="15" t="s">
        <v>48</v>
      </c>
      <c r="C26" s="45">
        <v>8.8399999999999992E-2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0.21360612100427201</v>
      </c>
    </row>
    <row r="30" spans="1:3" ht="14.25" customHeight="1" x14ac:dyDescent="0.25">
      <c r="B30" s="25" t="s">
        <v>63</v>
      </c>
      <c r="C30" s="99">
        <v>3.5735805600714703E-2</v>
      </c>
    </row>
    <row r="31" spans="1:3" ht="14.25" customHeight="1" x14ac:dyDescent="0.25">
      <c r="B31" s="25" t="s">
        <v>10</v>
      </c>
      <c r="C31" s="99">
        <v>9.1514330381830308E-2</v>
      </c>
    </row>
    <row r="32" spans="1:3" ht="14.25" customHeight="1" x14ac:dyDescent="0.25">
      <c r="B32" s="25" t="s">
        <v>11</v>
      </c>
      <c r="C32" s="99">
        <v>0.65914374301318301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31.178803074694098</v>
      </c>
    </row>
    <row r="38" spans="1:5" ht="15" customHeight="1" x14ac:dyDescent="0.25">
      <c r="B38" s="11" t="s">
        <v>35</v>
      </c>
      <c r="C38" s="43">
        <v>80.921036391288396</v>
      </c>
      <c r="D38" s="12"/>
      <c r="E38" s="13"/>
    </row>
    <row r="39" spans="1:5" ht="15" customHeight="1" x14ac:dyDescent="0.25">
      <c r="B39" s="11" t="s">
        <v>61</v>
      </c>
      <c r="C39" s="43">
        <v>109.236527986754</v>
      </c>
      <c r="D39" s="12"/>
      <c r="E39" s="12"/>
    </row>
    <row r="40" spans="1:5" ht="15" customHeight="1" x14ac:dyDescent="0.25">
      <c r="B40" s="11" t="s">
        <v>36</v>
      </c>
      <c r="C40" s="100">
        <v>11.2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23.723978259999999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2.8589000000000002E-3</v>
      </c>
      <c r="D45" s="12"/>
    </row>
    <row r="46" spans="1:5" ht="15.75" customHeight="1" x14ac:dyDescent="0.25">
      <c r="B46" s="11" t="s">
        <v>51</v>
      </c>
      <c r="C46" s="45">
        <v>8.5493400000000011E-2</v>
      </c>
      <c r="D46" s="12"/>
    </row>
    <row r="47" spans="1:5" ht="15.75" customHeight="1" x14ac:dyDescent="0.25">
      <c r="B47" s="11" t="s">
        <v>59</v>
      </c>
      <c r="C47" s="45">
        <v>0.14246449999999999</v>
      </c>
      <c r="D47" s="12"/>
      <c r="E47" s="13"/>
    </row>
    <row r="48" spans="1:5" ht="15" customHeight="1" x14ac:dyDescent="0.25">
      <c r="B48" s="11" t="s">
        <v>58</v>
      </c>
      <c r="C48" s="46">
        <v>0.76918319999999996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0.45287100000000008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0.144151</v>
      </c>
    </row>
    <row r="63" spans="1:4" ht="15.75" customHeight="1" x14ac:dyDescent="0.3">
      <c r="A63" s="4"/>
    </row>
  </sheetData>
  <sheetProtection algorithmName="SHA-512" hashValue="sV8ytJ2A2VIiT6PEl31UkQF5eJ9OQ2BkYxpvrwrEiwG85W6e9fefSxIa5lHj4BzBbOg04B28wJuYfn48SSfKZQ==" saltValue="T9rotF2Hx1RP83mnVN12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0.42837045251630901</v>
      </c>
      <c r="C2" s="98">
        <v>0.95</v>
      </c>
      <c r="D2" s="56">
        <v>34.819261433026043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47.362947514627443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50.52045111826412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0.15284496024175781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15.022196845122521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15.022196845122521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15.022196845122521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15.022196845122521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15.022196845122521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15.022196845122521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0.55787268749657892</v>
      </c>
      <c r="C16" s="98">
        <v>0.95</v>
      </c>
      <c r="D16" s="56">
        <v>0.22477769467930861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1.2741986036609081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1.2741986036609081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0.62068790439999999</v>
      </c>
      <c r="C21" s="98">
        <v>0.95</v>
      </c>
      <c r="D21" s="56">
        <v>1.617657643758611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25.587629641895109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6.3923829799999998E-3</v>
      </c>
      <c r="C23" s="98">
        <v>0.95</v>
      </c>
      <c r="D23" s="56">
        <v>4.9145085291285842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0.75119141414898494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0.59344479951391493</v>
      </c>
      <c r="C27" s="98">
        <v>0.95</v>
      </c>
      <c r="D27" s="56">
        <v>21.711791130794801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0.85267631529999999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60.674348370795308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2.935143539368509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0.49616221999999999</v>
      </c>
      <c r="C32" s="98">
        <v>0.95</v>
      </c>
      <c r="D32" s="56">
        <v>0.41676337027171728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0.156526615756648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0.69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0.57786636349999998</v>
      </c>
      <c r="C38" s="98">
        <v>0.95</v>
      </c>
      <c r="D38" s="56">
        <v>3.9579419154138891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0.25069368359999999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V/YdWTkevqx4tE/Mf+DOgG32KiS40o5HlwwjF/ynRFcIXu23ZywelJF1H36NxNSdfCcGBLltNiFsVWOw5luDSw==" saltValue="4PWSqBJcjHFOHZODxlUk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fSf3nATO3j8Q2XmQwhqOnvk/gvApOYiLDhejXUZN/hCzjAt0PqrJ5OTYMe4ueg46fcY3Ysf0HbZoG19ot8q0vQ==" saltValue="ABc9rmFgmthyxAOnyDQHe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nBvDXsPtFbO26uroog7QZ0LFvuXxUd4+NzyKOlGHKmv1gce3Y+rTB+3s8bBvaweGJXd6/iVazEfIIH+0ij0efg==" saltValue="EnPYahSCf8/U1sY/AUiFA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7.7684037600000005E-2</v>
      </c>
      <c r="C3" s="21">
        <f>frac_mam_1_5months * 2.6</f>
        <v>7.7684037600000005E-2</v>
      </c>
      <c r="D3" s="21">
        <f>frac_mam_6_11months * 2.6</f>
        <v>0.24544125319999999</v>
      </c>
      <c r="E3" s="21">
        <f>frac_mam_12_23months * 2.6</f>
        <v>0.19032719420000002</v>
      </c>
      <c r="F3" s="21">
        <f>frac_mam_24_59months * 2.6</f>
        <v>7.6240608600000009E-2</v>
      </c>
    </row>
    <row r="4" spans="1:6" ht="15.75" customHeight="1" x14ac:dyDescent="0.25">
      <c r="A4" s="3" t="s">
        <v>207</v>
      </c>
      <c r="B4" s="21">
        <f>frac_sam_1month * 2.6</f>
        <v>2.9978044200000002E-2</v>
      </c>
      <c r="C4" s="21">
        <f>frac_sam_1_5months * 2.6</f>
        <v>2.9978044200000002E-2</v>
      </c>
      <c r="D4" s="21">
        <f>frac_sam_6_11months * 2.6</f>
        <v>3.2652718800000001E-2</v>
      </c>
      <c r="E4" s="21">
        <f>frac_sam_12_23months * 2.6</f>
        <v>4.3962149400000004E-2</v>
      </c>
      <c r="F4" s="21">
        <f>frac_sam_24_59months * 2.6</f>
        <v>1.4419274480000001E-2</v>
      </c>
    </row>
  </sheetData>
  <sheetProtection algorithmName="SHA-512" hashValue="I33AQyu5SipT/QWRfHesiMrLWT7KgjQhQaSlA7jSgPd6fpimoLNTmZVixgeIuLbOBi82c/V6Z8KEtQw3CeHloQ==" saltValue="zba1Eqor33bKbP9vfiUW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0.40100000000000002</v>
      </c>
      <c r="E2" s="60">
        <f>food_insecure</f>
        <v>0.40100000000000002</v>
      </c>
      <c r="F2" s="60">
        <f>food_insecure</f>
        <v>0.40100000000000002</v>
      </c>
      <c r="G2" s="60">
        <f>food_insecure</f>
        <v>0.40100000000000002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0.40100000000000002</v>
      </c>
      <c r="F5" s="60">
        <f>food_insecure</f>
        <v>0.40100000000000002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0.40100000000000002</v>
      </c>
      <c r="F8" s="60">
        <f>food_insecure</f>
        <v>0.40100000000000002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0.40100000000000002</v>
      </c>
      <c r="F9" s="60">
        <f>food_insecure</f>
        <v>0.40100000000000002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0.71700000000000008</v>
      </c>
      <c r="E10" s="60">
        <f>IF(ISBLANK(comm_deliv), frac_children_health_facility,1)</f>
        <v>0.71700000000000008</v>
      </c>
      <c r="F10" s="60">
        <f>IF(ISBLANK(comm_deliv), frac_children_health_facility,1)</f>
        <v>0.71700000000000008</v>
      </c>
      <c r="G10" s="60">
        <f>IF(ISBLANK(comm_deliv), frac_children_health_facility,1)</f>
        <v>0.71700000000000008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0.40100000000000002</v>
      </c>
      <c r="I15" s="60">
        <f>food_insecure</f>
        <v>0.40100000000000002</v>
      </c>
      <c r="J15" s="60">
        <f>food_insecure</f>
        <v>0.40100000000000002</v>
      </c>
      <c r="K15" s="60">
        <f>food_insecure</f>
        <v>0.40100000000000002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</v>
      </c>
      <c r="I18" s="60">
        <f>frac_PW_health_facility</f>
        <v>0.76</v>
      </c>
      <c r="J18" s="60">
        <f>frac_PW_health_facility</f>
        <v>0.76</v>
      </c>
      <c r="K18" s="60">
        <f>frac_PW_health_facility</f>
        <v>0.76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0.625</v>
      </c>
      <c r="M24" s="60">
        <f>famplan_unmet_need</f>
        <v>0.625</v>
      </c>
      <c r="N24" s="60">
        <f>famplan_unmet_need</f>
        <v>0.625</v>
      </c>
      <c r="O24" s="60">
        <f>famplan_unmet_need</f>
        <v>0.625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0.36195958108329768</v>
      </c>
      <c r="M25" s="60">
        <f>(1-food_insecure)*(0.49)+food_insecure*(0.7)</f>
        <v>0.57421</v>
      </c>
      <c r="N25" s="60">
        <f>(1-food_insecure)*(0.49)+food_insecure*(0.7)</f>
        <v>0.57421</v>
      </c>
      <c r="O25" s="60">
        <f>(1-food_insecure)*(0.49)+food_insecure*(0.7)</f>
        <v>0.57421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0.15512553474998469</v>
      </c>
      <c r="M26" s="60">
        <f>(1-food_insecure)*(0.21)+food_insecure*(0.3)</f>
        <v>0.24608999999999998</v>
      </c>
      <c r="N26" s="60">
        <f>(1-food_insecure)*(0.21)+food_insecure*(0.3)</f>
        <v>0.24608999999999998</v>
      </c>
      <c r="O26" s="60">
        <f>(1-food_insecure)*(0.21)+food_insecure*(0.3)</f>
        <v>0.24608999999999998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0.11327586896896361</v>
      </c>
      <c r="M27" s="60">
        <f>(1-food_insecure)*(0.3)</f>
        <v>0.1797</v>
      </c>
      <c r="N27" s="60">
        <f>(1-food_insecure)*(0.3)</f>
        <v>0.1797</v>
      </c>
      <c r="O27" s="60">
        <f>(1-food_insecure)*(0.3)</f>
        <v>0.1797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0.369639015197754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TPYZIFSAHn3Wd4YLuKF2PkuHfaHpjJTP18Flg3IZstENKqlxHh6jMstWivhi5ZH6jidpDdZVw4GSmdLb6sFktA==" saltValue="Wn40o26rQJ2xPjXaWwT5G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wVO6KHg5gjtwnu5mwe3ZteX3QEgrWmTvtb7EJlyKs/eKAgAM6ced8M1CFBpiNii94KYIBA+okY2WoyhvwV/5Kg==" saltValue="huhDltYITxUGXEGeekGvw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OHbAkV62ZLpADR2DkLIob+YD1Kmt8Yyumx5YWDFAxYaCmrpYL1h62EegmUnxSAy4OVfExcfQmlNlQYaw8h7qg==" saltValue="jHgXDmOVR/p+1sLE51OXG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WtLCbn/R4FiOl97WA/HbYiSpmhqbeq9s+mB187z5tV0gyDH7akIjk8lsuApV9D0G+OExMHGLu7lyorKem/q5A==" saltValue="+xxQ0vkIv6L3sU2gY5VgY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I0Ti1Gii1Gmk/pkskxjJ2ZRN6+SGxXJ3zud10Fmhnl966DWG1FatfVzdZvWrhjYXR6GElrju7y4l6ATG48FSA==" saltValue="lf1PdsZY4gwVZgwP0KWJP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RMUh8z6VI/TIWOKWKTt8zEPraPxKwDUYREXngtb4IrLxnZipLCtBJ0GdfIsdGWBszwYHr/H0hgNexXzsYD4BA==" saltValue="TsyvNRR/01oyoxDyZN7DQ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265556.87760000001</v>
      </c>
      <c r="C2" s="49">
        <v>460000</v>
      </c>
      <c r="D2" s="49">
        <v>730000</v>
      </c>
      <c r="E2" s="49">
        <v>41000</v>
      </c>
      <c r="F2" s="49">
        <v>35000</v>
      </c>
      <c r="G2" s="17">
        <f t="shared" ref="G2:G11" si="0">C2+D2+E2+F2</f>
        <v>1266000</v>
      </c>
      <c r="H2" s="17">
        <f t="shared" ref="H2:H11" si="1">(B2 + stillbirth*B2/(1000-stillbirth))/(1-abortion)</f>
        <v>309102.31570890278</v>
      </c>
      <c r="I2" s="17">
        <f t="shared" ref="I2:I11" si="2">G2-H2</f>
        <v>956897.68429109722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266760.5232</v>
      </c>
      <c r="C3" s="50">
        <v>471000</v>
      </c>
      <c r="D3" s="50">
        <v>750000</v>
      </c>
      <c r="E3" s="50">
        <v>41000</v>
      </c>
      <c r="F3" s="50">
        <v>36000</v>
      </c>
      <c r="G3" s="17">
        <f t="shared" si="0"/>
        <v>1298000</v>
      </c>
      <c r="H3" s="17">
        <f t="shared" si="1"/>
        <v>310503.3324915042</v>
      </c>
      <c r="I3" s="17">
        <f t="shared" si="2"/>
        <v>987496.66750849574</v>
      </c>
    </row>
    <row r="4" spans="1:9" ht="15.75" customHeight="1" x14ac:dyDescent="0.25">
      <c r="A4" s="5">
        <f t="shared" si="3"/>
        <v>2023</v>
      </c>
      <c r="B4" s="49">
        <v>267801.3468</v>
      </c>
      <c r="C4" s="50">
        <v>482000</v>
      </c>
      <c r="D4" s="50">
        <v>770000</v>
      </c>
      <c r="E4" s="50">
        <v>42000</v>
      </c>
      <c r="F4" s="50">
        <v>36000</v>
      </c>
      <c r="G4" s="17">
        <f t="shared" si="0"/>
        <v>1330000</v>
      </c>
      <c r="H4" s="17">
        <f t="shared" si="1"/>
        <v>311714.82807735406</v>
      </c>
      <c r="I4" s="17">
        <f t="shared" si="2"/>
        <v>1018285.171922646</v>
      </c>
    </row>
    <row r="5" spans="1:9" ht="15.75" customHeight="1" x14ac:dyDescent="0.25">
      <c r="A5" s="5">
        <f t="shared" si="3"/>
        <v>2024</v>
      </c>
      <c r="B5" s="49">
        <v>268710.20980000001</v>
      </c>
      <c r="C5" s="50">
        <v>492000</v>
      </c>
      <c r="D5" s="50">
        <v>790000</v>
      </c>
      <c r="E5" s="50">
        <v>43000</v>
      </c>
      <c r="F5" s="50">
        <v>37000</v>
      </c>
      <c r="G5" s="17">
        <f t="shared" si="0"/>
        <v>1362000</v>
      </c>
      <c r="H5" s="17">
        <f t="shared" si="1"/>
        <v>312772.72445157374</v>
      </c>
      <c r="I5" s="17">
        <f t="shared" si="2"/>
        <v>1049227.2755484262</v>
      </c>
    </row>
    <row r="6" spans="1:9" ht="15.75" customHeight="1" x14ac:dyDescent="0.25">
      <c r="A6" s="5">
        <f t="shared" si="3"/>
        <v>2025</v>
      </c>
      <c r="B6" s="49">
        <v>269485.63199999998</v>
      </c>
      <c r="C6" s="50">
        <v>500000</v>
      </c>
      <c r="D6" s="50">
        <v>810000</v>
      </c>
      <c r="E6" s="50">
        <v>43000</v>
      </c>
      <c r="F6" s="50">
        <v>37000</v>
      </c>
      <c r="G6" s="17">
        <f t="shared" si="0"/>
        <v>1390000</v>
      </c>
      <c r="H6" s="17">
        <f t="shared" si="1"/>
        <v>313675.29869419272</v>
      </c>
      <c r="I6" s="17">
        <f t="shared" si="2"/>
        <v>1076324.7013058073</v>
      </c>
    </row>
    <row r="7" spans="1:9" ht="15.75" customHeight="1" x14ac:dyDescent="0.25">
      <c r="A7" s="5">
        <f t="shared" si="3"/>
        <v>2026</v>
      </c>
      <c r="B7" s="49">
        <v>270491.43</v>
      </c>
      <c r="C7" s="50">
        <v>507000</v>
      </c>
      <c r="D7" s="50">
        <v>832000</v>
      </c>
      <c r="E7" s="50">
        <v>44000</v>
      </c>
      <c r="F7" s="50">
        <v>37000</v>
      </c>
      <c r="G7" s="17">
        <f t="shared" si="0"/>
        <v>1420000</v>
      </c>
      <c r="H7" s="17">
        <f t="shared" si="1"/>
        <v>314846.02525847958</v>
      </c>
      <c r="I7" s="17">
        <f t="shared" si="2"/>
        <v>1105153.9747415204</v>
      </c>
    </row>
    <row r="8" spans="1:9" ht="15.75" customHeight="1" x14ac:dyDescent="0.25">
      <c r="A8" s="5">
        <f t="shared" si="3"/>
        <v>2027</v>
      </c>
      <c r="B8" s="49">
        <v>271374.48200000002</v>
      </c>
      <c r="C8" s="50">
        <v>512000</v>
      </c>
      <c r="D8" s="50">
        <v>853000</v>
      </c>
      <c r="E8" s="50">
        <v>46000</v>
      </c>
      <c r="F8" s="50">
        <v>37000</v>
      </c>
      <c r="G8" s="17">
        <f t="shared" si="0"/>
        <v>1448000</v>
      </c>
      <c r="H8" s="17">
        <f t="shared" si="1"/>
        <v>315873.87820116454</v>
      </c>
      <c r="I8" s="17">
        <f t="shared" si="2"/>
        <v>1132126.1217988355</v>
      </c>
    </row>
    <row r="9" spans="1:9" ht="15.75" customHeight="1" x14ac:dyDescent="0.25">
      <c r="A9" s="5">
        <f t="shared" si="3"/>
        <v>2028</v>
      </c>
      <c r="B9" s="49">
        <v>272104.42</v>
      </c>
      <c r="C9" s="50">
        <v>516000</v>
      </c>
      <c r="D9" s="50">
        <v>874000</v>
      </c>
      <c r="E9" s="50">
        <v>46000</v>
      </c>
      <c r="F9" s="50">
        <v>38000</v>
      </c>
      <c r="G9" s="17">
        <f t="shared" si="0"/>
        <v>1474000</v>
      </c>
      <c r="H9" s="17">
        <f t="shared" si="1"/>
        <v>316723.50984378293</v>
      </c>
      <c r="I9" s="17">
        <f t="shared" si="2"/>
        <v>1157276.490156217</v>
      </c>
    </row>
    <row r="10" spans="1:9" ht="15.75" customHeight="1" x14ac:dyDescent="0.25">
      <c r="A10" s="5">
        <f t="shared" si="3"/>
        <v>2029</v>
      </c>
      <c r="B10" s="49">
        <v>272709.8</v>
      </c>
      <c r="C10" s="50">
        <v>520000</v>
      </c>
      <c r="D10" s="50">
        <v>894000</v>
      </c>
      <c r="E10" s="50">
        <v>48000</v>
      </c>
      <c r="F10" s="50">
        <v>38000</v>
      </c>
      <c r="G10" s="17">
        <f t="shared" si="0"/>
        <v>1500000</v>
      </c>
      <c r="H10" s="17">
        <f t="shared" si="1"/>
        <v>317428.15873698809</v>
      </c>
      <c r="I10" s="17">
        <f t="shared" si="2"/>
        <v>1182571.841263012</v>
      </c>
    </row>
    <row r="11" spans="1:9" ht="15.75" customHeight="1" x14ac:dyDescent="0.25">
      <c r="A11" s="5">
        <f t="shared" si="3"/>
        <v>2030</v>
      </c>
      <c r="B11" s="49">
        <v>273161.15999999997</v>
      </c>
      <c r="C11" s="50">
        <v>525000</v>
      </c>
      <c r="D11" s="50">
        <v>912000</v>
      </c>
      <c r="E11" s="50">
        <v>49000</v>
      </c>
      <c r="F11" s="50">
        <v>38000</v>
      </c>
      <c r="G11" s="17">
        <f t="shared" si="0"/>
        <v>1524000</v>
      </c>
      <c r="H11" s="17">
        <f t="shared" si="1"/>
        <v>317953.5317662211</v>
      </c>
      <c r="I11" s="17">
        <f t="shared" si="2"/>
        <v>1206046.4682337788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segK2ikPrwmnAsWwltWXKl10UNTb+hN958TKv90xPUS+eK/f7IzjlP93h/vW4TvOMNA+9aUXUFukEDipVauRQ==" saltValue="Kha5eHSzwBk7wGmB/f8WU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3.4812561182929684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3.4812561182929684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2.1114688541220552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2.1114688541220552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2.6394013638721403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2.6394013638721403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1.7343633500449294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1.7343633500449294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4.4117271626528316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4.4117271626528316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2.5282696744178255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2.5282696744178255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tNgYq0xO2QS96TxSA6He73nNb4C55FjdJoJZJ/8DCUdmbcTsg9DCnYoWK0NGm9qYpGC9LtmRR7SaXKzQ1QvO6A==" saltValue="5GbRcamGRf6BH0G2tFS+V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bmWuZmK/yOb73/gbLaqqcM1rBNz7xHcIVw04mVE6DJqGxTobZkNaeKKgwCc04hyRHVI8b73XMJSdh+v17zbbKQ==" saltValue="MKdKMX2pBwih8F3JcmIS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XfQ9DrSKAfHHscw9vmYMIvsgZDynUPmGNlnZkbqp41F7R7lEWxxtn7rpQAJN7Eb6a2hsvH/YTDFau0Jt9+7c2A==" saltValue="lxUzs6WmbZBW6neceNMm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0.5940512394198062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0.5940512394198062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0.85788148652572449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0.85788148652572449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0.85788148652572449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0.85788148652572449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0.39274516331785192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0.39274516331785192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0.82346116966214444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0.82346116966214444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0.82346116966214444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0.82346116966214444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0.90445381695002602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0.90445381695002602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0.8927371104431705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0.8927371104431705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0.8927371104431705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0.8927371104431705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ChmeVZqA8uxU8K1PKlUjq71hM29PI2vTwiZs6cAz4zXVuDIKITRiA4Oxu4v46BEe8vtRbeVOG7Q0pBrz0rQnlg==" saltValue="sONuwlSmMkDD/k7hKjsW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14oO2hVcyBPGXVwUs1DMGpVq0WjoinTYTvWAK6npwrNVt1hUnYk6eNWJsa0pw83/fXTDG8S2dsFyFzORljjr+A==" saltValue="TFe1WoULFFJSSGd6CQ2p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0.2054036876661075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0.30153179535472457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0.30153179535472457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0.5313964386129334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0.5313964386129334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0.5313964386129334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0.5313964386129334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0.57539730680577461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0.57539730680577461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0.57539730680577461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0.57539730680577461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0.28679030012876816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0.40174934724255207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0.40174934724255207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0.6382054992764109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0.6382054992764109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0.6382054992764109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0.6382054992764109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0.67824967824967841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0.67824967824967841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0.67824967824967841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0.67824967824967841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0.10555456190475393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0.16463564689422297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0.16463564689422297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0.34110636835018759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0.34110636835018759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0.34110636835018759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0.34110636835018759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0.38220204679147979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0.38220204679147979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0.38220204679147979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0.38220204679147979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0.18999838028603636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0.28147073809956308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0.28147073809956308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0.50714637752587466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0.50714637752587466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0.50714637752587466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0.50714637752587466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0.55150246673643288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0.55150246673643288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0.55150246673643288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0.55150246673643288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0.7647283969070201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0.8444374665753549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0.8444374665753549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0.93446490595713971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0.93446490595713971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0.93446490595713971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0.93446490595713971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0.94456660322622354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0.94456660322622354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0.94456660322622354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0.94456660322622354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0.53619370168343272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0.65878202919182527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0.65878202919182527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0.83529605534052553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0.83529605534052553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0.83529605534052553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0.83529605534052553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0.85836697117767868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0.85836697117767868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0.85836697117767868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0.85836697117767868</v>
      </c>
    </row>
  </sheetData>
  <sheetProtection algorithmName="SHA-512" hashValue="O5Wfv62ce+wej0tx/knzyMy+iZ371WLtvlFcPg1PCd1078Syj43sxcfufwzhtP3h+8p8nkkPWTUmKusPjpHEcQ==" saltValue="e1fpzyIWkG7dcx2m4ZSc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0.85859788281915916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0.85847141847762809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0.85793417446919507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0.85932907673756398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0.85630775751203592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0.84762992464166542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0.85059425394547417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0.85637813704367372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0.77273809453724329</v>
      </c>
      <c r="E10" s="90">
        <f>E3*0.9</f>
        <v>0.77262427662986533</v>
      </c>
      <c r="F10" s="90">
        <f>F3*0.9</f>
        <v>0.77214075702227558</v>
      </c>
      <c r="G10" s="90">
        <f>G3*0.9</f>
        <v>0.77339616906380759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0.77067698176083232</v>
      </c>
      <c r="E12" s="90">
        <f>E5*0.9</f>
        <v>0.7628669321774989</v>
      </c>
      <c r="F12" s="90">
        <f>F5*0.9</f>
        <v>0.7655348285509268</v>
      </c>
      <c r="G12" s="90">
        <f>G5*0.9</f>
        <v>0.77074032333930631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0.90152777696011721</v>
      </c>
      <c r="E17" s="90">
        <f>E3*1.05</f>
        <v>0.90139498940150953</v>
      </c>
      <c r="F17" s="90">
        <f>F3*1.05</f>
        <v>0.90083088319265481</v>
      </c>
      <c r="G17" s="90">
        <f>G3*1.05</f>
        <v>0.90229553057444223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0.89912314538763771</v>
      </c>
      <c r="E19" s="90">
        <f>E5*1.05</f>
        <v>0.89001142087374874</v>
      </c>
      <c r="F19" s="90">
        <f>F5*1.05</f>
        <v>0.89312396664274796</v>
      </c>
      <c r="G19" s="90">
        <f>G5*1.05</f>
        <v>0.89919704389585742</v>
      </c>
    </row>
  </sheetData>
  <sheetProtection algorithmName="SHA-512" hashValue="kxvbL8ptlOOSRCB657PxWadxVwMSD2ihYe1F4J481VEL3u3+jaBrwA5J9HulWV5m+Gh7kFZ+5ZnErMUiBYZJPQ==" saltValue="ijV7y0QQqdRMTsGcDwk5n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TANL6ge/iEKqcHo88e0wA9QyDIS+QcLrx82TNkKivCPrDt4DNM7FNut48AmVZUVIzU40U1dRrbz94iMCqGDI1Q==" saltValue="lVcgZeOysevmiZQs1Pst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QuZLhjhjhy01BPbGhbGlq4RMI/iJKYL8cFhJRs2ObcdSUeuuIT2LLI9wxGKf7h4rDg8n15uxaOKeI/ggvx/rw==" saltValue="k3Ygz2VoVlTp3d+T3UTsK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6.0455060560639087E-3</v>
      </c>
    </row>
    <row r="4" spans="1:8" ht="15.75" customHeight="1" x14ac:dyDescent="0.25">
      <c r="B4" s="19" t="s">
        <v>97</v>
      </c>
      <c r="C4" s="101">
        <v>0.18647248594266511</v>
      </c>
    </row>
    <row r="5" spans="1:8" ht="15.75" customHeight="1" x14ac:dyDescent="0.25">
      <c r="B5" s="19" t="s">
        <v>95</v>
      </c>
      <c r="C5" s="101">
        <v>6.7726968112574018E-2</v>
      </c>
    </row>
    <row r="6" spans="1:8" ht="15.75" customHeight="1" x14ac:dyDescent="0.25">
      <c r="B6" s="19" t="s">
        <v>91</v>
      </c>
      <c r="C6" s="101">
        <v>0.29658106129734452</v>
      </c>
    </row>
    <row r="7" spans="1:8" ht="15.75" customHeight="1" x14ac:dyDescent="0.25">
      <c r="B7" s="19" t="s">
        <v>96</v>
      </c>
      <c r="C7" s="101">
        <v>0.28922160623902482</v>
      </c>
    </row>
    <row r="8" spans="1:8" ht="15.75" customHeight="1" x14ac:dyDescent="0.25">
      <c r="B8" s="19" t="s">
        <v>98</v>
      </c>
      <c r="C8" s="101">
        <v>9.2014529665193825E-3</v>
      </c>
    </row>
    <row r="9" spans="1:8" ht="15.75" customHeight="1" x14ac:dyDescent="0.25">
      <c r="B9" s="19" t="s">
        <v>92</v>
      </c>
      <c r="C9" s="101">
        <v>5.7863358900644438E-2</v>
      </c>
    </row>
    <row r="10" spans="1:8" ht="15.75" customHeight="1" x14ac:dyDescent="0.25">
      <c r="B10" s="19" t="s">
        <v>94</v>
      </c>
      <c r="C10" s="101">
        <v>8.6887560485163787E-2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0.1213033961879289</v>
      </c>
      <c r="D14" s="55">
        <v>0.1213033961879289</v>
      </c>
      <c r="E14" s="55">
        <v>0.1213033961879289</v>
      </c>
      <c r="F14" s="55">
        <v>0.1213033961879289</v>
      </c>
    </row>
    <row r="15" spans="1:8" ht="15.75" customHeight="1" x14ac:dyDescent="0.25">
      <c r="B15" s="19" t="s">
        <v>102</v>
      </c>
      <c r="C15" s="101">
        <v>0.15605553913012671</v>
      </c>
      <c r="D15" s="101">
        <v>0.15605553913012671</v>
      </c>
      <c r="E15" s="101">
        <v>0.15605553913012671</v>
      </c>
      <c r="F15" s="101">
        <v>0.15605553913012671</v>
      </c>
    </row>
    <row r="16" spans="1:8" ht="15.75" customHeight="1" x14ac:dyDescent="0.25">
      <c r="B16" s="19" t="s">
        <v>2</v>
      </c>
      <c r="C16" s="101">
        <v>1.7671748846637331E-2</v>
      </c>
      <c r="D16" s="101">
        <v>1.7671748846637331E-2</v>
      </c>
      <c r="E16" s="101">
        <v>1.7671748846637331E-2</v>
      </c>
      <c r="F16" s="101">
        <v>1.7671748846637331E-2</v>
      </c>
    </row>
    <row r="17" spans="1:8" ht="15.75" customHeight="1" x14ac:dyDescent="0.25">
      <c r="B17" s="19" t="s">
        <v>90</v>
      </c>
      <c r="C17" s="101">
        <v>3.4738480893323838E-3</v>
      </c>
      <c r="D17" s="101">
        <v>3.4738480893323838E-3</v>
      </c>
      <c r="E17" s="101">
        <v>3.4738480893323838E-3</v>
      </c>
      <c r="F17" s="101">
        <v>3.4738480893323838E-3</v>
      </c>
    </row>
    <row r="18" spans="1:8" ht="15.75" customHeight="1" x14ac:dyDescent="0.25">
      <c r="B18" s="19" t="s">
        <v>3</v>
      </c>
      <c r="C18" s="101">
        <v>0.3146704434723791</v>
      </c>
      <c r="D18" s="101">
        <v>0.3146704434723791</v>
      </c>
      <c r="E18" s="101">
        <v>0.3146704434723791</v>
      </c>
      <c r="F18" s="101">
        <v>0.3146704434723791</v>
      </c>
    </row>
    <row r="19" spans="1:8" ht="15.75" customHeight="1" x14ac:dyDescent="0.25">
      <c r="B19" s="19" t="s">
        <v>101</v>
      </c>
      <c r="C19" s="101">
        <v>1.1540077168291529E-2</v>
      </c>
      <c r="D19" s="101">
        <v>1.1540077168291529E-2</v>
      </c>
      <c r="E19" s="101">
        <v>1.1540077168291529E-2</v>
      </c>
      <c r="F19" s="101">
        <v>1.1540077168291529E-2</v>
      </c>
    </row>
    <row r="20" spans="1:8" ht="15.75" customHeight="1" x14ac:dyDescent="0.25">
      <c r="B20" s="19" t="s">
        <v>79</v>
      </c>
      <c r="C20" s="101">
        <v>4.6558253228392597E-2</v>
      </c>
      <c r="D20" s="101">
        <v>4.6558253228392597E-2</v>
      </c>
      <c r="E20" s="101">
        <v>4.6558253228392597E-2</v>
      </c>
      <c r="F20" s="101">
        <v>4.6558253228392597E-2</v>
      </c>
    </row>
    <row r="21" spans="1:8" ht="15.75" customHeight="1" x14ac:dyDescent="0.25">
      <c r="B21" s="19" t="s">
        <v>88</v>
      </c>
      <c r="C21" s="101">
        <v>6.6656294570803951E-2</v>
      </c>
      <c r="D21" s="101">
        <v>6.6656294570803951E-2</v>
      </c>
      <c r="E21" s="101">
        <v>6.6656294570803951E-2</v>
      </c>
      <c r="F21" s="101">
        <v>6.6656294570803951E-2</v>
      </c>
    </row>
    <row r="22" spans="1:8" ht="15.75" customHeight="1" x14ac:dyDescent="0.25">
      <c r="B22" s="19" t="s">
        <v>99</v>
      </c>
      <c r="C22" s="101">
        <v>0.26207039930610748</v>
      </c>
      <c r="D22" s="101">
        <v>0.26207039930610748</v>
      </c>
      <c r="E22" s="101">
        <v>0.26207039930610748</v>
      </c>
      <c r="F22" s="101">
        <v>0.26207039930610748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8.8541960999999988E-2</v>
      </c>
    </row>
    <row r="27" spans="1:8" ht="15.75" customHeight="1" x14ac:dyDescent="0.25">
      <c r="B27" s="19" t="s">
        <v>89</v>
      </c>
      <c r="C27" s="101">
        <v>8.4139049999999993E-3</v>
      </c>
    </row>
    <row r="28" spans="1:8" ht="15.75" customHeight="1" x14ac:dyDescent="0.25">
      <c r="B28" s="19" t="s">
        <v>103</v>
      </c>
      <c r="C28" s="101">
        <v>0.15592515700000001</v>
      </c>
    </row>
    <row r="29" spans="1:8" ht="15.75" customHeight="1" x14ac:dyDescent="0.25">
      <c r="B29" s="19" t="s">
        <v>86</v>
      </c>
      <c r="C29" s="101">
        <v>0.16923094399999999</v>
      </c>
    </row>
    <row r="30" spans="1:8" ht="15.75" customHeight="1" x14ac:dyDescent="0.25">
      <c r="B30" s="19" t="s">
        <v>4</v>
      </c>
      <c r="C30" s="101">
        <v>0.105940403</v>
      </c>
    </row>
    <row r="31" spans="1:8" ht="15.75" customHeight="1" x14ac:dyDescent="0.25">
      <c r="B31" s="19" t="s">
        <v>80</v>
      </c>
      <c r="C31" s="101">
        <v>0.11097119599999999</v>
      </c>
    </row>
    <row r="32" spans="1:8" ht="15.75" customHeight="1" x14ac:dyDescent="0.25">
      <c r="B32" s="19" t="s">
        <v>85</v>
      </c>
      <c r="C32" s="101">
        <v>1.8550027E-2</v>
      </c>
    </row>
    <row r="33" spans="2:3" ht="15.75" customHeight="1" x14ac:dyDescent="0.25">
      <c r="B33" s="19" t="s">
        <v>100</v>
      </c>
      <c r="C33" s="101">
        <v>8.4407093999999988E-2</v>
      </c>
    </row>
    <row r="34" spans="2:3" ht="15.75" customHeight="1" x14ac:dyDescent="0.25">
      <c r="B34" s="19" t="s">
        <v>87</v>
      </c>
      <c r="C34" s="101">
        <v>0.258019314</v>
      </c>
    </row>
    <row r="35" spans="2:3" ht="15.75" customHeight="1" x14ac:dyDescent="0.25">
      <c r="B35" s="27" t="s">
        <v>60</v>
      </c>
      <c r="C35" s="48">
        <f>SUM(C26:C34)</f>
        <v>1.0000000009999999</v>
      </c>
    </row>
  </sheetData>
  <sheetProtection algorithmName="SHA-512" hashValue="JtQOAGw4YJjrqMsIxsImuUWfee6i3bVGqudxi+IW+/6lzRhWMLOsCLvmX8onE0MRafsnobKgCCEmlWkHX5pOZg==" saltValue="A9h3yjeTxfh0268AOvlej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0.44673253258575008</v>
      </c>
      <c r="D2" s="52">
        <f>IFERROR(1-_xlfn.NORM.DIST(_xlfn.NORM.INV(SUM(D4:D5), 0, 1) + 1, 0, 1, TRUE), "")</f>
        <v>0.44673253258575008</v>
      </c>
      <c r="E2" s="52">
        <f>IFERROR(1-_xlfn.NORM.DIST(_xlfn.NORM.INV(SUM(E4:E5), 0, 1) + 1, 0, 1, TRUE), "")</f>
        <v>0.47106574192486861</v>
      </c>
      <c r="F2" s="52">
        <f>IFERROR(1-_xlfn.NORM.DIST(_xlfn.NORM.INV(SUM(F4:F5), 0, 1) + 1, 0, 1, TRUE), "")</f>
        <v>0.30688339452612201</v>
      </c>
      <c r="G2" s="52">
        <f>IFERROR(1-_xlfn.NORM.DIST(_xlfn.NORM.INV(SUM(G4:G5), 0, 1) + 1, 0, 1, TRUE), "")</f>
        <v>0.28635238316348455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0.36004405441424991</v>
      </c>
      <c r="D3" s="52">
        <f>IFERROR(_xlfn.NORM.DIST(_xlfn.NORM.INV(SUM(D4:D5), 0, 1) + 1, 0, 1, TRUE) - SUM(D4:D5), "")</f>
        <v>0.36004405441424991</v>
      </c>
      <c r="E3" s="52">
        <f>IFERROR(_xlfn.NORM.DIST(_xlfn.NORM.INV(SUM(E4:E5), 0, 1) + 1, 0, 1, TRUE) - SUM(E4:E5), "")</f>
        <v>0.35207711407513137</v>
      </c>
      <c r="F3" s="52">
        <f>IFERROR(_xlfn.NORM.DIST(_xlfn.NORM.INV(SUM(F4:F5), 0, 1) + 1, 0, 1, TRUE) - SUM(F4:F5), "")</f>
        <v>0.38292102747387802</v>
      </c>
      <c r="G3" s="52">
        <f>IFERROR(_xlfn.NORM.DIST(_xlfn.NORM.INV(SUM(G4:G5), 0, 1) + 1, 0, 1, TRUE) - SUM(G4:G5), "")</f>
        <v>0.38220293683651546</v>
      </c>
    </row>
    <row r="4" spans="1:15" ht="15.75" customHeight="1" x14ac:dyDescent="0.25">
      <c r="B4" s="5" t="s">
        <v>110</v>
      </c>
      <c r="C4" s="45">
        <v>0.11520275000000001</v>
      </c>
      <c r="D4" s="53">
        <v>0.11520275000000001</v>
      </c>
      <c r="E4" s="53">
        <v>0.10485664</v>
      </c>
      <c r="F4" s="53">
        <v>0.21218335999999999</v>
      </c>
      <c r="G4" s="53">
        <v>0.21331613999999999</v>
      </c>
    </row>
    <row r="5" spans="1:15" ht="15.75" customHeight="1" x14ac:dyDescent="0.25">
      <c r="B5" s="5" t="s">
        <v>106</v>
      </c>
      <c r="C5" s="45">
        <v>7.8020663000000004E-2</v>
      </c>
      <c r="D5" s="53">
        <v>7.8020663000000004E-2</v>
      </c>
      <c r="E5" s="53">
        <v>7.2000504000000007E-2</v>
      </c>
      <c r="F5" s="53">
        <v>9.8012217999999998E-2</v>
      </c>
      <c r="G5" s="53">
        <v>0.11812854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0.76869931189758345</v>
      </c>
      <c r="D8" s="52">
        <f>IFERROR(1-_xlfn.NORM.DIST(_xlfn.NORM.INV(SUM(D10:D11), 0, 1) + 1, 0, 1, TRUE), "")</f>
        <v>0.76869931189758345</v>
      </c>
      <c r="E8" s="52">
        <f>IFERROR(1-_xlfn.NORM.DIST(_xlfn.NORM.INV(SUM(E10:E11), 0, 1) + 1, 0, 1, TRUE), "")</f>
        <v>0.59594411157006077</v>
      </c>
      <c r="F8" s="52">
        <f>IFERROR(1-_xlfn.NORM.DIST(_xlfn.NORM.INV(SUM(F10:F11), 0, 1) + 1, 0, 1, TRUE), "")</f>
        <v>0.63309811219006895</v>
      </c>
      <c r="G8" s="52">
        <f>IFERROR(1-_xlfn.NORM.DIST(_xlfn.NORM.INV(SUM(G10:G11), 0, 1) + 1, 0, 1, TRUE), "")</f>
        <v>0.79206471430537706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0.18989219510241656</v>
      </c>
      <c r="D9" s="52">
        <f>IFERROR(_xlfn.NORM.DIST(_xlfn.NORM.INV(SUM(D10:D11), 0, 1) + 1, 0, 1, TRUE) - SUM(D10:D11), "")</f>
        <v>0.18989219510241656</v>
      </c>
      <c r="E9" s="52">
        <f>IFERROR(_xlfn.NORM.DIST(_xlfn.NORM.INV(SUM(E10:E11), 0, 1) + 1, 0, 1, TRUE) - SUM(E10:E11), "")</f>
        <v>0.29709666842993931</v>
      </c>
      <c r="F9" s="52">
        <f>IFERROR(_xlfn.NORM.DIST(_xlfn.NORM.INV(SUM(F10:F11), 0, 1) + 1, 0, 1, TRUE) - SUM(F10:F11), "")</f>
        <v>0.27679060180993104</v>
      </c>
      <c r="G9" s="52">
        <f>IFERROR(_xlfn.NORM.DIST(_xlfn.NORM.INV(SUM(G10:G11), 0, 1) + 1, 0, 1, TRUE) - SUM(G10:G11), "")</f>
        <v>0.17306609989462293</v>
      </c>
    </row>
    <row r="10" spans="1:15" ht="15.75" customHeight="1" x14ac:dyDescent="0.25">
      <c r="B10" s="5" t="s">
        <v>107</v>
      </c>
      <c r="C10" s="45">
        <v>2.9878476000000001E-2</v>
      </c>
      <c r="D10" s="53">
        <v>2.9878476000000001E-2</v>
      </c>
      <c r="E10" s="53">
        <v>9.4400481999999994E-2</v>
      </c>
      <c r="F10" s="53">
        <v>7.3202767000000002E-2</v>
      </c>
      <c r="G10" s="53">
        <v>2.9323311000000001E-2</v>
      </c>
    </row>
    <row r="11" spans="1:15" ht="15.75" customHeight="1" x14ac:dyDescent="0.25">
      <c r="B11" s="5" t="s">
        <v>119</v>
      </c>
      <c r="C11" s="45">
        <v>1.1530017E-2</v>
      </c>
      <c r="D11" s="53">
        <v>1.1530017E-2</v>
      </c>
      <c r="E11" s="53">
        <v>1.2558738E-2</v>
      </c>
      <c r="F11" s="53">
        <v>1.6908519E-2</v>
      </c>
      <c r="G11" s="53">
        <v>5.5458748000000004E-3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0.90340710200000007</v>
      </c>
      <c r="D14" s="54">
        <v>0.89947195748300002</v>
      </c>
      <c r="E14" s="54">
        <v>0.89947195748300002</v>
      </c>
      <c r="F14" s="54">
        <v>0.83211495658599999</v>
      </c>
      <c r="G14" s="54">
        <v>0.83211495658599999</v>
      </c>
      <c r="H14" s="45">
        <v>0.55900000000000016</v>
      </c>
      <c r="I14" s="55">
        <v>0.55900000000000016</v>
      </c>
      <c r="J14" s="55">
        <v>0.55900000000000016</v>
      </c>
      <c r="K14" s="55">
        <v>0.55900000000000016</v>
      </c>
      <c r="L14" s="45">
        <v>0.47299999999999998</v>
      </c>
      <c r="M14" s="55">
        <v>0.47299999999999998</v>
      </c>
      <c r="N14" s="55">
        <v>0.47299999999999998</v>
      </c>
      <c r="O14" s="55">
        <v>0.47299999999999998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0.40912687768984213</v>
      </c>
      <c r="D15" s="52">
        <f t="shared" si="0"/>
        <v>0.40734476485728377</v>
      </c>
      <c r="E15" s="52">
        <f t="shared" si="0"/>
        <v>0.40734476485728377</v>
      </c>
      <c r="F15" s="52">
        <f t="shared" si="0"/>
        <v>0.37684073250405847</v>
      </c>
      <c r="G15" s="52">
        <f t="shared" si="0"/>
        <v>0.37684073250405847</v>
      </c>
      <c r="H15" s="52">
        <f t="shared" si="0"/>
        <v>0.25315488900000011</v>
      </c>
      <c r="I15" s="52">
        <f t="shared" si="0"/>
        <v>0.25315488900000011</v>
      </c>
      <c r="J15" s="52">
        <f t="shared" si="0"/>
        <v>0.25315488900000011</v>
      </c>
      <c r="K15" s="52">
        <f t="shared" si="0"/>
        <v>0.25315488900000011</v>
      </c>
      <c r="L15" s="52">
        <f t="shared" si="0"/>
        <v>0.21420798300000002</v>
      </c>
      <c r="M15" s="52">
        <f t="shared" si="0"/>
        <v>0.21420798300000002</v>
      </c>
      <c r="N15" s="52">
        <f t="shared" si="0"/>
        <v>0.21420798300000002</v>
      </c>
      <c r="O15" s="52">
        <f t="shared" si="0"/>
        <v>0.21420798300000002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8OQNaZHgUVeI6C0I2ASyKPHXnuRUp4FSge4zA8rqqVL+p3fjB5W6IcIzkQAexpwTI2QhQdC00a7LQRNoe/DHPw==" saltValue="nfIx8IEaYbPhOrggUpV7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0.77430786130000007</v>
      </c>
      <c r="D2" s="53">
        <v>0.49616221999999999</v>
      </c>
      <c r="E2" s="53"/>
      <c r="F2" s="53"/>
      <c r="G2" s="53"/>
    </row>
    <row r="3" spans="1:7" x14ac:dyDescent="0.25">
      <c r="B3" s="3" t="s">
        <v>127</v>
      </c>
      <c r="C3" s="53">
        <v>0.15446283</v>
      </c>
      <c r="D3" s="53">
        <v>0.24405354000000001</v>
      </c>
      <c r="E3" s="53"/>
      <c r="F3" s="53"/>
      <c r="G3" s="53"/>
    </row>
    <row r="4" spans="1:7" x14ac:dyDescent="0.25">
      <c r="B4" s="3" t="s">
        <v>126</v>
      </c>
      <c r="C4" s="53">
        <v>3.8687203000000003E-2</v>
      </c>
      <c r="D4" s="53">
        <v>0.24085190000000001</v>
      </c>
      <c r="E4" s="53">
        <v>0.94867742061615001</v>
      </c>
      <c r="F4" s="53">
        <v>0.63494080305099498</v>
      </c>
      <c r="G4" s="53"/>
    </row>
    <row r="5" spans="1:7" x14ac:dyDescent="0.25">
      <c r="B5" s="3" t="s">
        <v>125</v>
      </c>
      <c r="C5" s="52">
        <v>3.2542102339999997E-2</v>
      </c>
      <c r="D5" s="52">
        <v>1.8932378999999999E-2</v>
      </c>
      <c r="E5" s="52">
        <f>1-SUM(E2:E4)</f>
        <v>5.1322579383849987E-2</v>
      </c>
      <c r="F5" s="52">
        <f>1-SUM(F2:F4)</f>
        <v>0.36505919694900502</v>
      </c>
      <c r="G5" s="52">
        <f>1-SUM(G2:G4)</f>
        <v>1</v>
      </c>
    </row>
  </sheetData>
  <sheetProtection algorithmName="SHA-512" hashValue="V0ec4TD2mOxxqnfAOhD3WjVSzVzIP75pLIUFgcoqdh8c7+heagYZtObvqR6GimBxOnLwN+qcN28vydiQWL0FPQ==" saltValue="v9GJUH1dlMksBCKg+4Pmn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unxCrBo5JAgGoZI2YXVE/RDXVQh5VpvwXMLWO37QhBSuDDbhP08ScKLjDQfWKdptJrYIy5wejbjmK5RKkzkqA==" saltValue="bcJj2eHPVKdL6Dt7AmIZZ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MzvczYoRDiu4o61ur3hOxcSeaAdxGLhNnJLaBZpN91qvL3r+1nkBOT4YZxL+99Lv0Kt6gsz/HyK3t6PHYxl7tA==" saltValue="vA7vZI/uF/D1d6ByWhDAx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Vgyg7jnQOWZ0GrvQ3OWfWO2nCGRHxQLvnf37VJarYmSveL2nkyerFQTo4SJ1YR6+S1MddAnhZUWw/sXoHulXyw==" saltValue="t+n/qiz8uQqGN4/lc2qRl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luW4UCSKDow4Mj3J3r12sewPYx7vQa8ClCWIeUvwu+Bwux7OeXJTVxf02x0krDpbgPD/3yrIVd8goEVycBq3tg==" saltValue="i72UhpwErgd2Yk+ak9g51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2024-03-15T02:32:01Z</dcterms:modified>
</cp:coreProperties>
</file>