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es\LiST countries\"/>
    </mc:Choice>
  </mc:AlternateContent>
  <xr:revisionPtr revIDLastSave="0" documentId="8_{CA77EE4E-541C-429A-86C3-DB076B58E872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C19" i="26"/>
  <c r="C17" i="26"/>
  <c r="F12" i="26"/>
  <c r="C12" i="26"/>
  <c r="C10" i="26"/>
  <c r="G5" i="26"/>
  <c r="G19" i="26" s="1"/>
  <c r="F5" i="26"/>
  <c r="F19" i="26" s="1"/>
  <c r="E5" i="26"/>
  <c r="E12" i="26" s="1"/>
  <c r="D5" i="26"/>
  <c r="D12" i="26" s="1"/>
  <c r="G3" i="26"/>
  <c r="G17" i="26" s="1"/>
  <c r="F3" i="26"/>
  <c r="F17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I39" i="2"/>
  <c r="H39" i="2"/>
  <c r="G39" i="2"/>
  <c r="H38" i="2"/>
  <c r="G38" i="2"/>
  <c r="I38" i="2" s="1"/>
  <c r="A29" i="2"/>
  <c r="A27" i="2"/>
  <c r="A21" i="2"/>
  <c r="H11" i="2"/>
  <c r="I11" i="2" s="1"/>
  <c r="G11" i="2"/>
  <c r="H10" i="2"/>
  <c r="G10" i="2"/>
  <c r="I10" i="2" s="1"/>
  <c r="I9" i="2"/>
  <c r="H9" i="2"/>
  <c r="G9" i="2"/>
  <c r="H8" i="2"/>
  <c r="G8" i="2"/>
  <c r="I8" i="2" s="1"/>
  <c r="H7" i="2"/>
  <c r="I7" i="2" s="1"/>
  <c r="G7" i="2"/>
  <c r="H6" i="2"/>
  <c r="G6" i="2"/>
  <c r="H5" i="2"/>
  <c r="I5" i="2" s="1"/>
  <c r="G5" i="2"/>
  <c r="H4" i="2"/>
  <c r="G4" i="2"/>
  <c r="H3" i="2"/>
  <c r="I3" i="2" s="1"/>
  <c r="G3" i="2"/>
  <c r="H2" i="2"/>
  <c r="G2" i="2"/>
  <c r="A2" i="2"/>
  <c r="A36" i="2" s="1"/>
  <c r="C33" i="1"/>
  <c r="C20" i="1"/>
  <c r="I4" i="2" l="1"/>
  <c r="A37" i="2"/>
  <c r="D19" i="26"/>
  <c r="A13" i="2"/>
  <c r="I2" i="2"/>
  <c r="I6" i="2"/>
  <c r="A19" i="2"/>
  <c r="A14" i="2"/>
  <c r="A22" i="2"/>
  <c r="A30" i="2"/>
  <c r="A38" i="2"/>
  <c r="A40" i="2"/>
  <c r="D10" i="26"/>
  <c r="G12" i="26"/>
  <c r="E19" i="26"/>
  <c r="A15" i="2"/>
  <c r="A23" i="2"/>
  <c r="A31" i="2"/>
  <c r="E10" i="26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F10" i="26"/>
  <c r="A17" i="2"/>
  <c r="A25" i="2"/>
  <c r="A33" i="2"/>
  <c r="G10" i="26"/>
  <c r="A18" i="2"/>
  <c r="A26" i="2"/>
  <c r="A34" i="2"/>
  <c r="A39" i="2"/>
  <c r="A35" i="2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<sst xmlns="http://schemas.openxmlformats.org/spreadsheetml/2006/main" count="2092" uniqueCount="341">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</sst>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19</v>
      </c>
      <c r="B1" s="29" t="s">
        <v>0</v>
      </c>
      <c r="C1" s="29" t="s">
        <v>24</v>
      </c>
    </row>
    <row r="2" spans="1:3" ht="15.9" customHeight="1" x14ac:dyDescent="0.3">
      <c r="A2" s="8" t="s">
        <v>55</v>
      </c>
      <c r="B2" s="29"/>
      <c r="C2" s="29"/>
    </row>
    <row r="3" spans="1:3" ht="15.9" customHeight="1" x14ac:dyDescent="0.3">
      <c r="A3" s="1"/>
      <c r="B3" s="5" t="s">
        <v>18</v>
      </c>
      <c r="C3" s="41">
        <v>2021</v>
      </c>
    </row>
    <row r="4" spans="1:3" ht="15.9" customHeight="1" x14ac:dyDescent="0.3">
      <c r="A4" s="1"/>
      <c r="B4" s="5" t="s">
        <v>26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50</v>
      </c>
    </row>
    <row r="7" spans="1:3" ht="15" customHeight="1" x14ac:dyDescent="0.25">
      <c r="B7" s="11" t="s">
        <v>23</v>
      </c>
      <c r="C7" s="43">
        <v>1463471.375</v>
      </c>
    </row>
    <row r="8" spans="1:3" ht="15" customHeight="1" x14ac:dyDescent="0.25">
      <c r="B8" s="5" t="s">
        <v>44</v>
      </c>
      <c r="C8" s="44">
        <v>0.42699999999999999</v>
      </c>
    </row>
    <row r="9" spans="1:3" ht="15" customHeight="1" x14ac:dyDescent="0.25">
      <c r="B9" s="5" t="s">
        <v>43</v>
      </c>
      <c r="C9" s="45">
        <v>0.39</v>
      </c>
    </row>
    <row r="10" spans="1:3" ht="15" customHeight="1" x14ac:dyDescent="0.25">
      <c r="B10" s="5" t="s">
        <v>56</v>
      </c>
      <c r="C10" s="45">
        <v>4.0349397659301803E-2</v>
      </c>
    </row>
    <row r="11" spans="1:3" ht="15" customHeight="1" x14ac:dyDescent="0.25">
      <c r="B11" s="5" t="s">
        <v>49</v>
      </c>
      <c r="C11" s="45">
        <v>0.17</v>
      </c>
    </row>
    <row r="12" spans="1:3" ht="15" customHeight="1" x14ac:dyDescent="0.25">
      <c r="B12" s="5" t="s">
        <v>41</v>
      </c>
      <c r="C12" s="45">
        <v>0.47599999999999998</v>
      </c>
    </row>
    <row r="13" spans="1:3" ht="15" customHeight="1" x14ac:dyDescent="0.25">
      <c r="B13" s="5" t="s">
        <v>62</v>
      </c>
      <c r="C13" s="45">
        <v>0.94400000000000006</v>
      </c>
    </row>
    <row r="14" spans="1:3" ht="15" customHeight="1" x14ac:dyDescent="0.25">
      <c r="B14" s="8"/>
    </row>
    <row r="15" spans="1:3" ht="15" customHeight="1" x14ac:dyDescent="0.3">
      <c r="A15" s="8" t="s">
        <v>28</v>
      </c>
      <c r="B15" s="14"/>
      <c r="C15" s="3"/>
    </row>
    <row r="16" spans="1:3" ht="15" customHeight="1" x14ac:dyDescent="0.25">
      <c r="B16" s="5" t="s">
        <v>33</v>
      </c>
      <c r="C16" s="45">
        <v>0.1</v>
      </c>
    </row>
    <row r="17" spans="1:3" ht="15" customHeight="1" x14ac:dyDescent="0.25">
      <c r="B17" s="5" t="s">
        <v>30</v>
      </c>
      <c r="C17" s="45">
        <v>0.7</v>
      </c>
    </row>
    <row r="18" spans="1:3" ht="15" customHeight="1" x14ac:dyDescent="0.25">
      <c r="B18" s="5" t="s">
        <v>31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34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12</v>
      </c>
    </row>
    <row r="23" spans="1:3" ht="15" customHeight="1" x14ac:dyDescent="0.25">
      <c r="B23" s="15" t="s">
        <v>45</v>
      </c>
      <c r="C23" s="45">
        <v>6.7500000000000004E-2</v>
      </c>
    </row>
    <row r="24" spans="1:3" ht="15" customHeight="1" x14ac:dyDescent="0.25">
      <c r="B24" s="15" t="s">
        <v>46</v>
      </c>
      <c r="C24" s="45">
        <v>0.51</v>
      </c>
    </row>
    <row r="25" spans="1:3" ht="15" customHeight="1" x14ac:dyDescent="0.25">
      <c r="B25" s="15" t="s">
        <v>47</v>
      </c>
      <c r="C25" s="45">
        <v>0.32150000000000001</v>
      </c>
    </row>
    <row r="26" spans="1:3" ht="15" customHeight="1" x14ac:dyDescent="0.25">
      <c r="B26" s="15" t="s">
        <v>48</v>
      </c>
      <c r="C26" s="45">
        <v>0.10100000000000001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22</v>
      </c>
      <c r="B28" s="15"/>
      <c r="C28" s="15"/>
    </row>
    <row r="29" spans="1:3" ht="14.25" customHeight="1" x14ac:dyDescent="0.25">
      <c r="B29" s="25" t="s">
        <v>27</v>
      </c>
      <c r="C29" s="45">
        <v>0.19150365160233301</v>
      </c>
    </row>
    <row r="30" spans="1:3" ht="14.25" customHeight="1" x14ac:dyDescent="0.25">
      <c r="B30" s="25" t="s">
        <v>63</v>
      </c>
      <c r="C30" s="99">
        <v>6.8825578474898896E-2</v>
      </c>
    </row>
    <row r="31" spans="1:3" ht="14.25" customHeight="1" x14ac:dyDescent="0.25">
      <c r="B31" s="25" t="s">
        <v>10</v>
      </c>
      <c r="C31" s="99">
        <v>0.12157427723799701</v>
      </c>
    </row>
    <row r="32" spans="1:3" ht="14.25" customHeight="1" x14ac:dyDescent="0.25">
      <c r="B32" s="25" t="s">
        <v>11</v>
      </c>
      <c r="C32" s="99">
        <v>0.61809649268477107</v>
      </c>
    </row>
    <row r="33" spans="1:5" ht="13" customHeight="1" x14ac:dyDescent="0.25">
      <c r="B33" s="27" t="s">
        <v>60</v>
      </c>
      <c r="C33" s="48">
        <f>SUM(C29:C32)</f>
        <v>1</v>
      </c>
    </row>
    <row r="34" spans="1:5" ht="15" customHeight="1" x14ac:dyDescent="0.25"/>
    <row r="35" spans="1:5" ht="15" customHeight="1" x14ac:dyDescent="0.3">
      <c r="A35" s="4" t="s">
        <v>20</v>
      </c>
    </row>
    <row r="36" spans="1:5" ht="15" customHeight="1" x14ac:dyDescent="0.25">
      <c r="A36" s="8" t="s">
        <v>37</v>
      </c>
      <c r="B36" s="5"/>
    </row>
    <row r="37" spans="1:5" ht="15" customHeight="1" x14ac:dyDescent="0.25">
      <c r="B37" s="11" t="s">
        <v>38</v>
      </c>
      <c r="C37" s="43">
        <v>38.604565867455698</v>
      </c>
    </row>
    <row r="38" spans="1:5" ht="15" customHeight="1" x14ac:dyDescent="0.25">
      <c r="B38" s="11" t="s">
        <v>35</v>
      </c>
      <c r="C38" s="43">
        <v>62.3710703861653</v>
      </c>
      <c r="D38" s="12"/>
      <c r="E38" s="13"/>
    </row>
    <row r="39" spans="1:5" ht="15" customHeight="1" x14ac:dyDescent="0.25">
      <c r="B39" s="11" t="s">
        <v>61</v>
      </c>
      <c r="C39" s="43">
        <v>96.229298685854801</v>
      </c>
      <c r="D39" s="12"/>
      <c r="E39" s="12"/>
    </row>
    <row r="40" spans="1:5" ht="15" customHeight="1" x14ac:dyDescent="0.25">
      <c r="B40" s="11" t="s">
        <v>36</v>
      </c>
      <c r="C40" s="100">
        <v>11.5</v>
      </c>
    </row>
    <row r="41" spans="1:5" ht="15" customHeight="1" x14ac:dyDescent="0.25">
      <c r="B41" s="11" t="s">
        <v>32</v>
      </c>
      <c r="C41" s="45">
        <v>0.12</v>
      </c>
    </row>
    <row r="42" spans="1:5" ht="15" customHeight="1" x14ac:dyDescent="0.25">
      <c r="B42" s="11" t="s">
        <v>57</v>
      </c>
      <c r="C42" s="43">
        <v>28.81322853</v>
      </c>
    </row>
    <row r="43" spans="1:5" ht="15.75" customHeight="1" x14ac:dyDescent="0.25">
      <c r="D43" s="12"/>
    </row>
    <row r="44" spans="1:5" ht="15.75" customHeight="1" x14ac:dyDescent="0.25">
      <c r="A44" s="8" t="s">
        <v>21</v>
      </c>
      <c r="D44" s="12"/>
    </row>
    <row r="45" spans="1:5" ht="15.75" customHeight="1" x14ac:dyDescent="0.25">
      <c r="B45" s="11" t="s">
        <v>52</v>
      </c>
      <c r="C45" s="45">
        <v>2.8654000000000002E-3</v>
      </c>
      <c r="D45" s="12"/>
    </row>
    <row r="46" spans="1:5" ht="15.75" customHeight="1" x14ac:dyDescent="0.25">
      <c r="B46" s="11" t="s">
        <v>51</v>
      </c>
      <c r="C46" s="45">
        <v>8.5688099999999989E-2</v>
      </c>
      <c r="D46" s="12"/>
    </row>
    <row r="47" spans="1:5" ht="15.75" customHeight="1" x14ac:dyDescent="0.25">
      <c r="B47" s="11" t="s">
        <v>59</v>
      </c>
      <c r="C47" s="45">
        <v>0.14243310000000001</v>
      </c>
      <c r="D47" s="12"/>
      <c r="E47" s="13"/>
    </row>
    <row r="48" spans="1:5" ht="15" customHeight="1" x14ac:dyDescent="0.25">
      <c r="B48" s="11" t="s">
        <v>58</v>
      </c>
      <c r="C48" s="46">
        <v>0.76901340000000007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25</v>
      </c>
      <c r="D50" s="12"/>
    </row>
    <row r="51" spans="1:4" ht="15.75" customHeight="1" x14ac:dyDescent="0.25">
      <c r="B51" s="11" t="s">
        <v>17</v>
      </c>
      <c r="C51" s="100">
        <v>2.9</v>
      </c>
      <c r="D51" s="12"/>
    </row>
    <row r="52" spans="1:4" ht="15" customHeight="1" x14ac:dyDescent="0.25">
      <c r="B52" s="11" t="s">
        <v>13</v>
      </c>
      <c r="C52" s="100">
        <v>2.9</v>
      </c>
    </row>
    <row r="53" spans="1:4" ht="15.75" customHeight="1" x14ac:dyDescent="0.25">
      <c r="B53" s="11" t="s">
        <v>16</v>
      </c>
      <c r="C53" s="100">
        <v>2.9</v>
      </c>
    </row>
    <row r="54" spans="1:4" ht="15.75" customHeight="1" x14ac:dyDescent="0.25">
      <c r="B54" s="11" t="s">
        <v>14</v>
      </c>
      <c r="C54" s="100">
        <v>2.9</v>
      </c>
    </row>
    <row r="55" spans="1:4" ht="15.75" customHeight="1" x14ac:dyDescent="0.25">
      <c r="B55" s="11" t="s">
        <v>15</v>
      </c>
      <c r="C55" s="100">
        <v>2.9</v>
      </c>
    </row>
    <row r="57" spans="1:4" ht="15.75" customHeight="1" x14ac:dyDescent="0.25">
      <c r="A57" s="8" t="s">
        <v>39</v>
      </c>
    </row>
    <row r="58" spans="1:4" ht="15.75" customHeight="1" x14ac:dyDescent="0.25">
      <c r="B58" s="5" t="s">
        <v>42</v>
      </c>
      <c r="C58" s="45">
        <v>2.0689655172413789E-2</v>
      </c>
    </row>
    <row r="59" spans="1:4" ht="15.75" customHeight="1" x14ac:dyDescent="0.25">
      <c r="B59" s="11" t="s">
        <v>40</v>
      </c>
      <c r="C59" s="45">
        <v>0.52577700000000005</v>
      </c>
    </row>
    <row r="60" spans="1:4" ht="15.75" customHeight="1" x14ac:dyDescent="0.25">
      <c r="B60" s="11" t="s">
        <v>54</v>
      </c>
      <c r="C60" s="45">
        <v>4.5999999999999999E-2</v>
      </c>
    </row>
    <row r="61" spans="1:4" ht="15.75" customHeight="1" x14ac:dyDescent="0.25">
      <c r="B61" s="11" t="s">
        <v>53</v>
      </c>
      <c r="C61" s="45">
        <v>1.4E-2</v>
      </c>
    </row>
    <row r="62" spans="1:4" ht="15.75" customHeight="1" x14ac:dyDescent="0.25">
      <c r="B62" s="11" t="s">
        <v>64</v>
      </c>
      <c r="C62" s="44">
        <v>0.14599999999999999</v>
      </c>
    </row>
    <row r="63" spans="1:4" ht="15.75" customHeight="1" x14ac:dyDescent="0.3">
      <c r="A63" s="4"/>
    </row>
  </sheetData>
  <sheetProtection algorithmName="SHA-512" hashValue="y0c5Jm+q4qct2Y6KudX6hOgstqBmmbWbDA1eHNsyvOQlob7Yggd9tYwOBbW63tYV6uVwzMcLwsxnRnI4QnJxnQ==" saltValue="uXCOv9avp4ASJqD0dZTIv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5">
      <c r="A2" s="5">
        <f>start_year</f>
        <v>2021</v>
      </c>
      <c r="B2" s="49">
        <v>474679.08799999999</v>
      </c>
      <c r="C2" s="49">
        <v>739000</v>
      </c>
      <c r="D2" s="49">
        <v>1225000</v>
      </c>
      <c r="E2" s="49">
        <v>1540000</v>
      </c>
      <c r="F2" s="49">
        <v>1553000</v>
      </c>
      <c r="G2" s="17">
        <f t="shared" ref="G2:G11" si="0">C2+D2+E2+F2</f>
        <v>5057000</v>
      </c>
      <c r="H2" s="17">
        <f t="shared" ref="H2:H11" si="1">(B2 + stillbirth*B2/(1000-stillbirth))/(1-abortion)</f>
        <v>555411.24569582019</v>
      </c>
      <c r="I2" s="17">
        <f t="shared" ref="I2:I11" si="2">G2-H2</f>
        <v>4501588.7543041799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480844.47639999999</v>
      </c>
      <c r="C3" s="50">
        <v>756000</v>
      </c>
      <c r="D3" s="50">
        <v>1257000</v>
      </c>
      <c r="E3" s="50">
        <v>1519000</v>
      </c>
      <c r="F3" s="50">
        <v>1575000</v>
      </c>
      <c r="G3" s="17">
        <f t="shared" si="0"/>
        <v>5107000</v>
      </c>
      <c r="H3" s="17">
        <f t="shared" si="1"/>
        <v>562625.22696866398</v>
      </c>
      <c r="I3" s="17">
        <f t="shared" si="2"/>
        <v>4544374.7730313363</v>
      </c>
    </row>
    <row r="4" spans="1:9" ht="15.75" customHeight="1" x14ac:dyDescent="0.25">
      <c r="A4" s="5">
        <f t="shared" si="3"/>
        <v>2023</v>
      </c>
      <c r="B4" s="49">
        <v>486852.17280000012</v>
      </c>
      <c r="C4" s="50">
        <v>774000</v>
      </c>
      <c r="D4" s="50">
        <v>1289000</v>
      </c>
      <c r="E4" s="50">
        <v>1498000</v>
      </c>
      <c r="F4" s="50">
        <v>1594000</v>
      </c>
      <c r="G4" s="17">
        <f t="shared" si="0"/>
        <v>5155000</v>
      </c>
      <c r="H4" s="17">
        <f t="shared" si="1"/>
        <v>569654.69640525803</v>
      </c>
      <c r="I4" s="17">
        <f t="shared" si="2"/>
        <v>4585345.303594742</v>
      </c>
    </row>
    <row r="5" spans="1:9" ht="15.75" customHeight="1" x14ac:dyDescent="0.25">
      <c r="A5" s="5">
        <f t="shared" si="3"/>
        <v>2024</v>
      </c>
      <c r="B5" s="49">
        <v>492631.71040000021</v>
      </c>
      <c r="C5" s="50">
        <v>792000</v>
      </c>
      <c r="D5" s="50">
        <v>1320000</v>
      </c>
      <c r="E5" s="50">
        <v>1477000</v>
      </c>
      <c r="F5" s="50">
        <v>1606000</v>
      </c>
      <c r="G5" s="17">
        <f t="shared" si="0"/>
        <v>5195000</v>
      </c>
      <c r="H5" s="17">
        <f t="shared" si="1"/>
        <v>576417.20239954337</v>
      </c>
      <c r="I5" s="17">
        <f t="shared" si="2"/>
        <v>4618582.7976004565</v>
      </c>
    </row>
    <row r="6" spans="1:9" ht="15.75" customHeight="1" x14ac:dyDescent="0.25">
      <c r="A6" s="5">
        <f t="shared" si="3"/>
        <v>2025</v>
      </c>
      <c r="B6" s="49">
        <v>498212.99</v>
      </c>
      <c r="C6" s="50">
        <v>809000</v>
      </c>
      <c r="D6" s="50">
        <v>1352000</v>
      </c>
      <c r="E6" s="50">
        <v>1457000</v>
      </c>
      <c r="F6" s="50">
        <v>1608000</v>
      </c>
      <c r="G6" s="17">
        <f t="shared" si="0"/>
        <v>5226000</v>
      </c>
      <c r="H6" s="17">
        <f t="shared" si="1"/>
        <v>582947.73120011389</v>
      </c>
      <c r="I6" s="17">
        <f t="shared" si="2"/>
        <v>4643052.2687998861</v>
      </c>
    </row>
    <row r="7" spans="1:9" ht="15.75" customHeight="1" x14ac:dyDescent="0.25">
      <c r="A7" s="5">
        <f t="shared" si="3"/>
        <v>2026</v>
      </c>
      <c r="B7" s="49">
        <v>503346.44819999998</v>
      </c>
      <c r="C7" s="50">
        <v>826000</v>
      </c>
      <c r="D7" s="50">
        <v>1382000</v>
      </c>
      <c r="E7" s="50">
        <v>1443000</v>
      </c>
      <c r="F7" s="50">
        <v>1602000</v>
      </c>
      <c r="G7" s="17">
        <f t="shared" si="0"/>
        <v>5253000</v>
      </c>
      <c r="H7" s="17">
        <f t="shared" si="1"/>
        <v>588954.27432718209</v>
      </c>
      <c r="I7" s="17">
        <f t="shared" si="2"/>
        <v>4664045.7256728178</v>
      </c>
    </row>
    <row r="8" spans="1:9" ht="15.75" customHeight="1" x14ac:dyDescent="0.25">
      <c r="A8" s="5">
        <f t="shared" si="3"/>
        <v>2027</v>
      </c>
      <c r="B8" s="49">
        <v>508262.75199999998</v>
      </c>
      <c r="C8" s="50">
        <v>842000</v>
      </c>
      <c r="D8" s="50">
        <v>1412000</v>
      </c>
      <c r="E8" s="50">
        <v>1430000</v>
      </c>
      <c r="F8" s="50">
        <v>1587000</v>
      </c>
      <c r="G8" s="17">
        <f t="shared" si="0"/>
        <v>5271000</v>
      </c>
      <c r="H8" s="17">
        <f t="shared" si="1"/>
        <v>594706.73001104628</v>
      </c>
      <c r="I8" s="17">
        <f t="shared" si="2"/>
        <v>4676293.2699889541</v>
      </c>
    </row>
    <row r="9" spans="1:9" ht="15.75" customHeight="1" x14ac:dyDescent="0.25">
      <c r="A9" s="5">
        <f t="shared" si="3"/>
        <v>2028</v>
      </c>
      <c r="B9" s="49">
        <v>512958.06920000009</v>
      </c>
      <c r="C9" s="50">
        <v>859000</v>
      </c>
      <c r="D9" s="50">
        <v>1442000</v>
      </c>
      <c r="E9" s="50">
        <v>1419000</v>
      </c>
      <c r="F9" s="50">
        <v>1565000</v>
      </c>
      <c r="G9" s="17">
        <f t="shared" si="0"/>
        <v>5285000</v>
      </c>
      <c r="H9" s="17">
        <f t="shared" si="1"/>
        <v>600200.61428131582</v>
      </c>
      <c r="I9" s="17">
        <f t="shared" si="2"/>
        <v>4684799.3857186846</v>
      </c>
    </row>
    <row r="10" spans="1:9" ht="15.75" customHeight="1" x14ac:dyDescent="0.25">
      <c r="A10" s="5">
        <f t="shared" si="3"/>
        <v>2029</v>
      </c>
      <c r="B10" s="49">
        <v>517428.56760000013</v>
      </c>
      <c r="C10" s="50">
        <v>876000</v>
      </c>
      <c r="D10" s="50">
        <v>1473000</v>
      </c>
      <c r="E10" s="50">
        <v>1410000</v>
      </c>
      <c r="F10" s="50">
        <v>1540000</v>
      </c>
      <c r="G10" s="17">
        <f t="shared" si="0"/>
        <v>5299000</v>
      </c>
      <c r="H10" s="17">
        <f t="shared" si="1"/>
        <v>605431.4431675995</v>
      </c>
      <c r="I10" s="17">
        <f t="shared" si="2"/>
        <v>4693568.5568324002</v>
      </c>
    </row>
    <row r="11" spans="1:9" ht="15.75" customHeight="1" x14ac:dyDescent="0.25">
      <c r="A11" s="5">
        <f t="shared" si="3"/>
        <v>2030</v>
      </c>
      <c r="B11" s="49">
        <v>521640.18199999997</v>
      </c>
      <c r="C11" s="50">
        <v>893000</v>
      </c>
      <c r="D11" s="50">
        <v>1506000</v>
      </c>
      <c r="E11" s="50">
        <v>1403000</v>
      </c>
      <c r="F11" s="50">
        <v>1516000</v>
      </c>
      <c r="G11" s="17">
        <f t="shared" si="0"/>
        <v>5318000</v>
      </c>
      <c r="H11" s="17">
        <f t="shared" si="1"/>
        <v>610359.35775121895</v>
      </c>
      <c r="I11" s="17">
        <f t="shared" si="2"/>
        <v>4707640.6422487814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+T3Ado9nqzR10FDl4WFI137wmI72y0CLdfNslKnp5K83OZHK/HX/DVCUQPfolDGiPgHyt+aGZsO2Ypo0NqRFZw==" saltValue="3sKOticp5beXr1jr/xZTmQ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3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5">
      <c r="B3" s="19" t="s">
        <v>93</v>
      </c>
      <c r="C3" s="55">
        <v>7.7852531721108861E-3</v>
      </c>
    </row>
    <row r="4" spans="1:8" ht="15.75" customHeight="1" x14ac:dyDescent="0.25">
      <c r="B4" s="19" t="s">
        <v>97</v>
      </c>
      <c r="C4" s="101">
        <v>0.1104314088841564</v>
      </c>
    </row>
    <row r="5" spans="1:8" ht="15.75" customHeight="1" x14ac:dyDescent="0.25">
      <c r="B5" s="19" t="s">
        <v>95</v>
      </c>
      <c r="C5" s="101">
        <v>8.2541916573618035E-2</v>
      </c>
    </row>
    <row r="6" spans="1:8" ht="15.75" customHeight="1" x14ac:dyDescent="0.25">
      <c r="B6" s="19" t="s">
        <v>91</v>
      </c>
      <c r="C6" s="101">
        <v>0.329225287383837</v>
      </c>
    </row>
    <row r="7" spans="1:8" ht="15.75" customHeight="1" x14ac:dyDescent="0.25">
      <c r="B7" s="19" t="s">
        <v>96</v>
      </c>
      <c r="C7" s="101">
        <v>0.26604515066131029</v>
      </c>
    </row>
    <row r="8" spans="1:8" ht="15.75" customHeight="1" x14ac:dyDescent="0.25">
      <c r="B8" s="19" t="s">
        <v>98</v>
      </c>
      <c r="C8" s="101">
        <v>5.7428130468389543E-2</v>
      </c>
    </row>
    <row r="9" spans="1:8" ht="15.75" customHeight="1" x14ac:dyDescent="0.25">
      <c r="B9" s="19" t="s">
        <v>92</v>
      </c>
      <c r="C9" s="101">
        <v>7.7054891446840759E-2</v>
      </c>
    </row>
    <row r="10" spans="1:8" ht="15.75" customHeight="1" x14ac:dyDescent="0.25">
      <c r="B10" s="19" t="s">
        <v>94</v>
      </c>
      <c r="C10" s="101">
        <v>6.9487961409737009E-2</v>
      </c>
    </row>
    <row r="11" spans="1:8" ht="15.75" customHeight="1" x14ac:dyDescent="0.25">
      <c r="B11" s="27" t="s">
        <v>60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5">
      <c r="B14" s="19" t="s">
        <v>84</v>
      </c>
      <c r="C14" s="55">
        <v>0.14223879086630209</v>
      </c>
      <c r="D14" s="55">
        <v>0.14223879086630209</v>
      </c>
      <c r="E14" s="55">
        <v>0.14223879086630209</v>
      </c>
      <c r="F14" s="55">
        <v>0.14223879086630209</v>
      </c>
    </row>
    <row r="15" spans="1:8" ht="15.75" customHeight="1" x14ac:dyDescent="0.25">
      <c r="B15" s="19" t="s">
        <v>102</v>
      </c>
      <c r="C15" s="101">
        <v>0.28748066796321281</v>
      </c>
      <c r="D15" s="101">
        <v>0.28748066796321281</v>
      </c>
      <c r="E15" s="101">
        <v>0.28748066796321281</v>
      </c>
      <c r="F15" s="101">
        <v>0.28748066796321281</v>
      </c>
    </row>
    <row r="16" spans="1:8" ht="15.75" customHeight="1" x14ac:dyDescent="0.25">
      <c r="B16" s="19" t="s">
        <v>2</v>
      </c>
      <c r="C16" s="101">
        <v>5.0147283635475083E-2</v>
      </c>
      <c r="D16" s="101">
        <v>5.0147283635475083E-2</v>
      </c>
      <c r="E16" s="101">
        <v>5.0147283635475083E-2</v>
      </c>
      <c r="F16" s="101">
        <v>5.0147283635475083E-2</v>
      </c>
    </row>
    <row r="17" spans="1:8" ht="15.75" customHeight="1" x14ac:dyDescent="0.25">
      <c r="B17" s="19" t="s">
        <v>90</v>
      </c>
      <c r="C17" s="101">
        <v>1.485571103059875E-2</v>
      </c>
      <c r="D17" s="101">
        <v>1.485571103059875E-2</v>
      </c>
      <c r="E17" s="101">
        <v>1.485571103059875E-2</v>
      </c>
      <c r="F17" s="101">
        <v>1.485571103059875E-2</v>
      </c>
    </row>
    <row r="18" spans="1:8" ht="15.75" customHeight="1" x14ac:dyDescent="0.25">
      <c r="B18" s="19" t="s">
        <v>3</v>
      </c>
      <c r="C18" s="101">
        <v>0.113311026172252</v>
      </c>
      <c r="D18" s="101">
        <v>0.113311026172252</v>
      </c>
      <c r="E18" s="101">
        <v>0.113311026172252</v>
      </c>
      <c r="F18" s="101">
        <v>0.113311026172252</v>
      </c>
    </row>
    <row r="19" spans="1:8" ht="15.75" customHeight="1" x14ac:dyDescent="0.25">
      <c r="B19" s="19" t="s">
        <v>101</v>
      </c>
      <c r="C19" s="101">
        <v>2.0832431100539759E-2</v>
      </c>
      <c r="D19" s="101">
        <v>2.0832431100539759E-2</v>
      </c>
      <c r="E19" s="101">
        <v>2.0832431100539759E-2</v>
      </c>
      <c r="F19" s="101">
        <v>2.0832431100539759E-2</v>
      </c>
    </row>
    <row r="20" spans="1:8" ht="15.75" customHeight="1" x14ac:dyDescent="0.25">
      <c r="B20" s="19" t="s">
        <v>79</v>
      </c>
      <c r="C20" s="101">
        <v>5.6682828741777803E-2</v>
      </c>
      <c r="D20" s="101">
        <v>5.6682828741777803E-2</v>
      </c>
      <c r="E20" s="101">
        <v>5.6682828741777803E-2</v>
      </c>
      <c r="F20" s="101">
        <v>5.6682828741777803E-2</v>
      </c>
    </row>
    <row r="21" spans="1:8" ht="15.75" customHeight="1" x14ac:dyDescent="0.25">
      <c r="B21" s="19" t="s">
        <v>88</v>
      </c>
      <c r="C21" s="101">
        <v>8.5374155968913248E-2</v>
      </c>
      <c r="D21" s="101">
        <v>8.5374155968913248E-2</v>
      </c>
      <c r="E21" s="101">
        <v>8.5374155968913248E-2</v>
      </c>
      <c r="F21" s="101">
        <v>8.5374155968913248E-2</v>
      </c>
    </row>
    <row r="22" spans="1:8" ht="15.75" customHeight="1" x14ac:dyDescent="0.25">
      <c r="B22" s="19" t="s">
        <v>99</v>
      </c>
      <c r="C22" s="101">
        <v>0.22907710452092839</v>
      </c>
      <c r="D22" s="101">
        <v>0.22907710452092839</v>
      </c>
      <c r="E22" s="101">
        <v>0.22907710452092839</v>
      </c>
      <c r="F22" s="101">
        <v>0.22907710452092839</v>
      </c>
    </row>
    <row r="23" spans="1:8" ht="15.75" customHeight="1" x14ac:dyDescent="0.25">
      <c r="B23" s="27" t="s">
        <v>60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5">
      <c r="B26" s="19" t="s">
        <v>81</v>
      </c>
      <c r="C26" s="55">
        <v>4.6824316999999997E-2</v>
      </c>
    </row>
    <row r="27" spans="1:8" ht="15.75" customHeight="1" x14ac:dyDescent="0.25">
      <c r="B27" s="19" t="s">
        <v>89</v>
      </c>
      <c r="C27" s="101">
        <v>2.7708330999999999E-2</v>
      </c>
    </row>
    <row r="28" spans="1:8" ht="15.75" customHeight="1" x14ac:dyDescent="0.25">
      <c r="B28" s="19" t="s">
        <v>103</v>
      </c>
      <c r="C28" s="101">
        <v>0.192682248</v>
      </c>
    </row>
    <row r="29" spans="1:8" ht="15.75" customHeight="1" x14ac:dyDescent="0.25">
      <c r="B29" s="19" t="s">
        <v>86</v>
      </c>
      <c r="C29" s="101">
        <v>0.15047112300000001</v>
      </c>
    </row>
    <row r="30" spans="1:8" ht="15.75" customHeight="1" x14ac:dyDescent="0.25">
      <c r="B30" s="19" t="s">
        <v>4</v>
      </c>
      <c r="C30" s="101">
        <v>4.9998465000000013E-2</v>
      </c>
    </row>
    <row r="31" spans="1:8" ht="15.75" customHeight="1" x14ac:dyDescent="0.25">
      <c r="B31" s="19" t="s">
        <v>80</v>
      </c>
      <c r="C31" s="101">
        <v>3.0442113E-2</v>
      </c>
    </row>
    <row r="32" spans="1:8" ht="15.75" customHeight="1" x14ac:dyDescent="0.25">
      <c r="B32" s="19" t="s">
        <v>85</v>
      </c>
      <c r="C32" s="101">
        <v>8.5598303000000001E-2</v>
      </c>
    </row>
    <row r="33" spans="2:3" ht="15.75" customHeight="1" x14ac:dyDescent="0.25">
      <c r="B33" s="19" t="s">
        <v>100</v>
      </c>
      <c r="C33" s="101">
        <v>0.16741062000000001</v>
      </c>
    </row>
    <row r="34" spans="2:3" ht="15.75" customHeight="1" x14ac:dyDescent="0.25">
      <c r="B34" s="19" t="s">
        <v>87</v>
      </c>
      <c r="C34" s="101">
        <v>0.24886448</v>
      </c>
    </row>
    <row r="35" spans="2:3" ht="15.75" customHeight="1" x14ac:dyDescent="0.25">
      <c r="B35" s="27" t="s">
        <v>60</v>
      </c>
      <c r="C35" s="48">
        <f>SUM(C26:C34)</f>
        <v>1</v>
      </c>
    </row>
  </sheetData>
  <sheetProtection algorithmName="SHA-512" hashValue="dz3f20NXMp89hS/saDinPOcYVajKrwFj8UwPw6qj0TemHy3pdBHgJUYYpogKHWPFC3teQ1e06RUdfYiVr1iOkw==" saltValue="QrfMNzqS5qf/TzQtQnEER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5">
      <c r="A2" s="3" t="s">
        <v>121</v>
      </c>
      <c r="B2" s="5" t="s">
        <v>111</v>
      </c>
      <c r="C2" s="52">
        <f>IFERROR(1-_xlfn.NORM.DIST(_xlfn.NORM.INV(SUM(C4:C5), 0, 1) + 1, 0, 1, TRUE), "")</f>
        <v>0.57247399084166029</v>
      </c>
      <c r="D2" s="52">
        <f>IFERROR(1-_xlfn.NORM.DIST(_xlfn.NORM.INV(SUM(D4:D5), 0, 1) + 1, 0, 1, TRUE), "")</f>
        <v>0.57247399084166029</v>
      </c>
      <c r="E2" s="52">
        <f>IFERROR(1-_xlfn.NORM.DIST(_xlfn.NORM.INV(SUM(E4:E5), 0, 1) + 1, 0, 1, TRUE), "")</f>
        <v>0.47509587476377879</v>
      </c>
      <c r="F2" s="52">
        <f>IFERROR(1-_xlfn.NORM.DIST(_xlfn.NORM.INV(SUM(F4:F5), 0, 1) + 1, 0, 1, TRUE), "")</f>
        <v>0.30851661402352026</v>
      </c>
      <c r="G2" s="52">
        <f>IFERROR(1-_xlfn.NORM.DIST(_xlfn.NORM.INV(SUM(G4:G5), 0, 1) + 1, 0, 1, TRUE), "")</f>
        <v>0.27250172408455453</v>
      </c>
    </row>
    <row r="3" spans="1:15" ht="15.75" customHeight="1" x14ac:dyDescent="0.25">
      <c r="B3" s="5" t="s">
        <v>108</v>
      </c>
      <c r="C3" s="52">
        <f>IFERROR(_xlfn.NORM.DIST(_xlfn.NORM.INV(SUM(C4:C5), 0, 1) + 1, 0, 1, TRUE) - SUM(C4:C5), "")</f>
        <v>0.30905727751657031</v>
      </c>
      <c r="D3" s="52">
        <f>IFERROR(_xlfn.NORM.DIST(_xlfn.NORM.INV(SUM(D4:D5), 0, 1) + 1, 0, 1, TRUE) - SUM(D4:D5), "")</f>
        <v>0.30905727751657031</v>
      </c>
      <c r="E3" s="52">
        <f>IFERROR(_xlfn.NORM.DIST(_xlfn.NORM.INV(SUM(E4:E5), 0, 1) + 1, 0, 1, TRUE) - SUM(E4:E5), "")</f>
        <v>0.35066215773696513</v>
      </c>
      <c r="F3" s="52">
        <f>IFERROR(_xlfn.NORM.DIST(_xlfn.NORM.INV(SUM(F4:F5), 0, 1) + 1, 0, 1, TRUE) - SUM(F4:F5), "")</f>
        <v>0.38292492192618677</v>
      </c>
      <c r="G3" s="52">
        <f>IFERROR(_xlfn.NORM.DIST(_xlfn.NORM.INV(SUM(G4:G5), 0, 1) + 1, 0, 1, TRUE) - SUM(G4:G5), "")</f>
        <v>0.3809793272412435</v>
      </c>
    </row>
    <row r="4" spans="1:15" ht="15.75" customHeight="1" x14ac:dyDescent="0.25">
      <c r="B4" s="5" t="s">
        <v>110</v>
      </c>
      <c r="C4" s="45">
        <v>4.7722220420837402E-2</v>
      </c>
      <c r="D4" s="53">
        <v>4.7722220420837402E-2</v>
      </c>
      <c r="E4" s="53">
        <v>8.7833374738693196E-2</v>
      </c>
      <c r="F4" s="53">
        <v>0.153509572148323</v>
      </c>
      <c r="G4" s="53">
        <v>0.150337129831314</v>
      </c>
    </row>
    <row r="5" spans="1:15" ht="15.75" customHeight="1" x14ac:dyDescent="0.25">
      <c r="B5" s="5" t="s">
        <v>106</v>
      </c>
      <c r="C5" s="45">
        <v>7.0746511220931993E-2</v>
      </c>
      <c r="D5" s="53">
        <v>7.0746511220931993E-2</v>
      </c>
      <c r="E5" s="53">
        <v>8.6408592760562897E-2</v>
      </c>
      <c r="F5" s="53">
        <v>0.15504889190196999</v>
      </c>
      <c r="G5" s="53">
        <v>0.19618181884288799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122</v>
      </c>
      <c r="B8" s="5" t="s">
        <v>112</v>
      </c>
      <c r="C8" s="52">
        <f>IFERROR(1-_xlfn.NORM.DIST(_xlfn.NORM.INV(SUM(C10:C11), 0, 1) + 1, 0, 1, TRUE), "")</f>
        <v>0.43845576271655351</v>
      </c>
      <c r="D8" s="52">
        <f>IFERROR(1-_xlfn.NORM.DIST(_xlfn.NORM.INV(SUM(D10:D11), 0, 1) + 1, 0, 1, TRUE), "")</f>
        <v>0.43845576271655351</v>
      </c>
      <c r="E8" s="52">
        <f>IFERROR(1-_xlfn.NORM.DIST(_xlfn.NORM.INV(SUM(E10:E11), 0, 1) + 1, 0, 1, TRUE), "")</f>
        <v>0.34813286014513767</v>
      </c>
      <c r="F8" s="52">
        <f>IFERROR(1-_xlfn.NORM.DIST(_xlfn.NORM.INV(SUM(F10:F11), 0, 1) + 1, 0, 1, TRUE), "")</f>
        <v>0.40303041241498305</v>
      </c>
      <c r="G8" s="52">
        <f>IFERROR(1-_xlfn.NORM.DIST(_xlfn.NORM.INV(SUM(G10:G11), 0, 1) + 1, 0, 1, TRUE), "")</f>
        <v>0.41271241511184598</v>
      </c>
    </row>
    <row r="9" spans="1:15" ht="15.75" customHeight="1" x14ac:dyDescent="0.25">
      <c r="B9" s="5" t="s">
        <v>109</v>
      </c>
      <c r="C9" s="52">
        <f>IFERROR(_xlfn.NORM.DIST(_xlfn.NORM.INV(SUM(C10:C11), 0, 1) + 1, 0, 1, TRUE) - SUM(C10:C11), "")</f>
        <v>0.36252075955031093</v>
      </c>
      <c r="D9" s="52">
        <f>IFERROR(_xlfn.NORM.DIST(_xlfn.NORM.INV(SUM(D10:D11), 0, 1) + 1, 0, 1, TRUE) - SUM(D10:D11), "")</f>
        <v>0.36252075955031093</v>
      </c>
      <c r="E9" s="52">
        <f>IFERROR(_xlfn.NORM.DIST(_xlfn.NORM.INV(SUM(E10:E11), 0, 1) + 1, 0, 1, TRUE) - SUM(E10:E11), "")</f>
        <v>0.38081490598006429</v>
      </c>
      <c r="F9" s="52">
        <f>IFERROR(_xlfn.NORM.DIST(_xlfn.NORM.INV(SUM(F10:F11), 0, 1) + 1, 0, 1, TRUE) - SUM(F10:F11), "")</f>
        <v>0.37169177629618316</v>
      </c>
      <c r="G9" s="52">
        <f>IFERROR(_xlfn.NORM.DIST(_xlfn.NORM.INV(SUM(G10:G11), 0, 1) + 1, 0, 1, TRUE) - SUM(G10:G11), "")</f>
        <v>0.3694234365693867</v>
      </c>
    </row>
    <row r="10" spans="1:15" ht="15.75" customHeight="1" x14ac:dyDescent="0.25">
      <c r="B10" s="5" t="s">
        <v>107</v>
      </c>
      <c r="C10" s="45">
        <v>0.112000979483128</v>
      </c>
      <c r="D10" s="53">
        <v>0.112000979483128</v>
      </c>
      <c r="E10" s="53">
        <v>0.15598480403423301</v>
      </c>
      <c r="F10" s="53">
        <v>0.12805274128913899</v>
      </c>
      <c r="G10" s="53">
        <v>0.123658940196037</v>
      </c>
    </row>
    <row r="11" spans="1:15" ht="15.75" customHeight="1" x14ac:dyDescent="0.25">
      <c r="B11" s="5" t="s">
        <v>119</v>
      </c>
      <c r="C11" s="45">
        <v>8.7022498250007588E-2</v>
      </c>
      <c r="D11" s="53">
        <v>8.7022498250007588E-2</v>
      </c>
      <c r="E11" s="53">
        <v>0.11506742984056501</v>
      </c>
      <c r="F11" s="53">
        <v>9.722506999969481E-2</v>
      </c>
      <c r="G11" s="53">
        <v>9.4205208122730311E-2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5">
      <c r="B14" s="11" t="s">
        <v>117</v>
      </c>
      <c r="C14" s="51">
        <v>0.70880744425000008</v>
      </c>
      <c r="D14" s="54">
        <v>0.70567137949000003</v>
      </c>
      <c r="E14" s="54">
        <v>0.70567137949000003</v>
      </c>
      <c r="F14" s="54">
        <v>0.64978975866400002</v>
      </c>
      <c r="G14" s="54">
        <v>0.64978975866400002</v>
      </c>
      <c r="H14" s="45">
        <v>0.38900000000000001</v>
      </c>
      <c r="I14" s="55">
        <v>0.38900000000000001</v>
      </c>
      <c r="J14" s="55">
        <v>0.38900000000000001</v>
      </c>
      <c r="K14" s="55">
        <v>0.38900000000000001</v>
      </c>
      <c r="L14" s="45">
        <v>0.33500000000000002</v>
      </c>
      <c r="M14" s="55">
        <v>0.33500000000000002</v>
      </c>
      <c r="N14" s="55">
        <v>0.33500000000000002</v>
      </c>
      <c r="O14" s="55">
        <v>0.33500000000000002</v>
      </c>
    </row>
    <row r="15" spans="1:15" ht="15.75" customHeight="1" x14ac:dyDescent="0.25">
      <c r="B15" s="11" t="s">
        <v>118</v>
      </c>
      <c r="C15" s="52">
        <f t="shared" ref="C15:O15" si="0">iron_deficiency_anaemia*C14</f>
        <v>0.37267465161543234</v>
      </c>
      <c r="D15" s="52">
        <f t="shared" si="0"/>
        <v>0.37102578089411375</v>
      </c>
      <c r="E15" s="52">
        <f t="shared" si="0"/>
        <v>0.37102578089411375</v>
      </c>
      <c r="F15" s="52">
        <f t="shared" si="0"/>
        <v>0.34164450994108198</v>
      </c>
      <c r="G15" s="52">
        <f t="shared" si="0"/>
        <v>0.34164450994108198</v>
      </c>
      <c r="H15" s="52">
        <f t="shared" si="0"/>
        <v>0.20452725300000002</v>
      </c>
      <c r="I15" s="52">
        <f t="shared" si="0"/>
        <v>0.20452725300000002</v>
      </c>
      <c r="J15" s="52">
        <f t="shared" si="0"/>
        <v>0.20452725300000002</v>
      </c>
      <c r="K15" s="52">
        <f t="shared" si="0"/>
        <v>0.20452725300000002</v>
      </c>
      <c r="L15" s="52">
        <f t="shared" si="0"/>
        <v>0.17613529500000003</v>
      </c>
      <c r="M15" s="52">
        <f t="shared" si="0"/>
        <v>0.17613529500000003</v>
      </c>
      <c r="N15" s="52">
        <f t="shared" si="0"/>
        <v>0.17613529500000003</v>
      </c>
      <c r="O15" s="52">
        <f t="shared" si="0"/>
        <v>0.17613529500000003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l9pcI5jsZM5XJ2grs3tqydbO3RpzCfcsCjw5hsDQKN4FOd0v2zsYFR2uiPAMBk4L0/N/EinFSl4BsPe1jch/WA==" saltValue="4c3XQhq5LGxrayr1aeVYh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5">
      <c r="A2" s="3" t="s">
        <v>123</v>
      </c>
      <c r="B2" s="3" t="s">
        <v>124</v>
      </c>
      <c r="C2" s="45">
        <v>0.61253422498703003</v>
      </c>
      <c r="D2" s="53">
        <v>0.41144239999999999</v>
      </c>
      <c r="E2" s="53"/>
      <c r="F2" s="53"/>
      <c r="G2" s="53"/>
    </row>
    <row r="3" spans="1:7" x14ac:dyDescent="0.25">
      <c r="B3" s="3" t="s">
        <v>127</v>
      </c>
      <c r="C3" s="53">
        <v>0.22120472788810699</v>
      </c>
      <c r="D3" s="53">
        <v>0.29817589999999999</v>
      </c>
      <c r="E3" s="53"/>
      <c r="F3" s="53"/>
      <c r="G3" s="53"/>
    </row>
    <row r="4" spans="1:7" x14ac:dyDescent="0.25">
      <c r="B4" s="3" t="s">
        <v>126</v>
      </c>
      <c r="C4" s="53">
        <v>7.4739158153533894E-2</v>
      </c>
      <c r="D4" s="53">
        <v>0.23041149999999999</v>
      </c>
      <c r="E4" s="53">
        <v>0.90059196949005094</v>
      </c>
      <c r="F4" s="53">
        <v>0.61897557973861705</v>
      </c>
      <c r="G4" s="53"/>
    </row>
    <row r="5" spans="1:7" x14ac:dyDescent="0.25">
      <c r="B5" s="3" t="s">
        <v>125</v>
      </c>
      <c r="C5" s="52">
        <v>9.1521896421909291E-2</v>
      </c>
      <c r="D5" s="52">
        <v>5.9970259666442899E-2</v>
      </c>
      <c r="E5" s="52">
        <f>1-SUM(E2:E4)</f>
        <v>9.9408030509949064E-2</v>
      </c>
      <c r="F5" s="52">
        <f>1-SUM(F2:F4)</f>
        <v>0.38102442026138295</v>
      </c>
      <c r="G5" s="52">
        <f>1-SUM(G2:G4)</f>
        <v>1</v>
      </c>
    </row>
  </sheetData>
  <sheetProtection algorithmName="SHA-512" hashValue="S5ZAOaULqZtMZ+Sw8GfUZFZF7Eypqu6TbvLiZgyEXsngwes+mpizqkhuV13o9hiBMEVhqGK/XmMId8dLOPHppQ==" saltValue="0oiMT+fBBhuWXomjuqXJiw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LMbhpammFjvIEWpKzV+GQXQJZeLBR1ix1QW/6rotgMWiFd84FRs16Dro/gD+VXBbB+/CrCeC5+X5yXp3w+6kdQ==" saltValue="DCnzOmCGx+wWq+nTKnnORw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147</v>
      </c>
      <c r="B1" s="4" t="s">
        <v>145</v>
      </c>
    </row>
    <row r="2" spans="1:2" x14ac:dyDescent="0.25">
      <c r="A2" s="8" t="s">
        <v>144</v>
      </c>
      <c r="B2" s="41">
        <v>10</v>
      </c>
    </row>
    <row r="3" spans="1:2" x14ac:dyDescent="0.25">
      <c r="A3" s="8" t="s">
        <v>143</v>
      </c>
      <c r="B3" s="41">
        <v>10</v>
      </c>
    </row>
    <row r="4" spans="1:2" x14ac:dyDescent="0.25">
      <c r="A4" s="8" t="s">
        <v>142</v>
      </c>
      <c r="B4" s="41">
        <v>10</v>
      </c>
    </row>
    <row r="5" spans="1:2" x14ac:dyDescent="0.25">
      <c r="A5" s="8" t="s">
        <v>146</v>
      </c>
      <c r="B5" s="41">
        <v>10</v>
      </c>
    </row>
    <row r="6" spans="1:2" x14ac:dyDescent="0.25">
      <c r="A6" s="8" t="s">
        <v>140</v>
      </c>
      <c r="B6" s="41">
        <v>10</v>
      </c>
    </row>
    <row r="7" spans="1:2" x14ac:dyDescent="0.25">
      <c r="A7" s="8" t="s">
        <v>141</v>
      </c>
      <c r="B7" s="41">
        <v>10</v>
      </c>
    </row>
  </sheetData>
  <sheetProtection algorithmName="SHA-512" hashValue="qPY5wFgQo+OzSHNS1qYqnD5SFzsSB5jHUkX2Avdcvs9MNTh5AiUljVkZVNRF4oZzEHDIF7IYGwmK1gqiDRP1bA==" saltValue="zEwk7PQ3TUIzDjJjsZVrNw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ht="13" customHeight="1" x14ac:dyDescent="0.3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5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77</v>
      </c>
      <c r="C5" s="47"/>
      <c r="D5" s="47"/>
      <c r="E5" s="38" t="str">
        <f>IF(E$7="","",E$7)</f>
        <v/>
      </c>
    </row>
    <row r="6" spans="1:5" x14ac:dyDescent="0.25">
      <c r="B6" s="32" t="s">
        <v>75</v>
      </c>
      <c r="C6" s="47"/>
      <c r="D6" s="47"/>
      <c r="E6" s="38" t="str">
        <f>IF(E$7="","",E$7)</f>
        <v/>
      </c>
    </row>
    <row r="7" spans="1:5" x14ac:dyDescent="0.25">
      <c r="B7" s="32" t="s">
        <v>148</v>
      </c>
      <c r="C7" s="31"/>
      <c r="D7" s="30"/>
      <c r="E7" s="47"/>
    </row>
    <row r="9" spans="1:5" ht="13" customHeight="1" x14ac:dyDescent="0.3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5">
      <c r="B10" s="32" t="s">
        <v>78</v>
      </c>
      <c r="C10" s="47"/>
      <c r="D10" s="47"/>
      <c r="E10" s="38" t="str">
        <f>IF(E$7="","",E$7)</f>
        <v/>
      </c>
    </row>
    <row r="11" spans="1:5" x14ac:dyDescent="0.25">
      <c r="B11" s="32" t="s">
        <v>74</v>
      </c>
      <c r="C11" s="47"/>
      <c r="D11" s="47"/>
      <c r="E11" s="38" t="str">
        <f>IF(E$7="","",E$7)</f>
        <v/>
      </c>
    </row>
    <row r="12" spans="1:5" x14ac:dyDescent="0.25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148</v>
      </c>
      <c r="C14" s="31"/>
      <c r="D14" s="30"/>
      <c r="E14" s="47"/>
    </row>
    <row r="16" spans="1:5" ht="13" customHeight="1" x14ac:dyDescent="0.3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148</v>
      </c>
      <c r="C21" s="31"/>
      <c r="D21" s="30"/>
      <c r="E21" s="47"/>
    </row>
  </sheetData>
  <sheetProtection algorithmName="SHA-512" hashValue="R6b5T0+HhmEc9qAtlgRtGZ5zKNvbGG5Uy+stgNv+4SNyiRY8fXfNFlxcsZAhinXmbC+PTGp0Rcu1tJ/WFNGQyw==" saltValue="XJ4536n1VsoEFRTRcP8uY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159</v>
      </c>
      <c r="C1" s="40" t="s">
        <v>161</v>
      </c>
      <c r="D1" s="40" t="s">
        <v>157</v>
      </c>
    </row>
    <row r="2" spans="1:4" ht="13" customHeight="1" x14ac:dyDescent="0.3">
      <c r="A2" s="40" t="s">
        <v>163</v>
      </c>
      <c r="B2" s="32" t="s">
        <v>164</v>
      </c>
      <c r="C2" s="32" t="s">
        <v>162</v>
      </c>
      <c r="D2" s="47"/>
    </row>
    <row r="3" spans="1:4" ht="13" customHeight="1" x14ac:dyDescent="0.3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5nOYGNk85I6aLNo4T4Ciz5CNPKbaOHpu3fduNUgGO0Q7Iu7/Nkoczk7ZR7fuGx3ap+By/mF5Z6+h9CbtofBwPg==" saltValue="uUwM/ZpfGNjMLIrPOZD/s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5">
      <c r="A2" s="5" t="s">
        <v>165</v>
      </c>
      <c r="B2" s="45">
        <v>0</v>
      </c>
      <c r="C2" s="98">
        <v>0.95</v>
      </c>
      <c r="D2" s="56">
        <v>33.111327336400471</v>
      </c>
      <c r="E2" s="56" t="s">
        <v>183</v>
      </c>
      <c r="F2" s="98">
        <v>1</v>
      </c>
      <c r="G2" s="98">
        <v>1</v>
      </c>
    </row>
    <row r="3" spans="1:7" ht="15.75" customHeight="1" x14ac:dyDescent="0.25">
      <c r="A3" s="5" t="s">
        <v>166</v>
      </c>
      <c r="B3" s="45">
        <v>0</v>
      </c>
      <c r="C3" s="98">
        <v>0.95</v>
      </c>
      <c r="D3" s="56">
        <v>47.324666225751173</v>
      </c>
      <c r="E3" s="56" t="s">
        <v>183</v>
      </c>
      <c r="F3" s="98">
        <v>1</v>
      </c>
      <c r="G3" s="98">
        <v>1</v>
      </c>
    </row>
    <row r="4" spans="1:7" ht="15.75" customHeight="1" x14ac:dyDescent="0.25">
      <c r="A4" s="5" t="s">
        <v>167</v>
      </c>
      <c r="B4" s="98">
        <v>0</v>
      </c>
      <c r="C4" s="98">
        <v>0.95</v>
      </c>
      <c r="D4" s="56">
        <v>23.744</v>
      </c>
      <c r="E4" s="56" t="s">
        <v>183</v>
      </c>
      <c r="F4" s="98">
        <v>1</v>
      </c>
      <c r="G4" s="98">
        <v>1</v>
      </c>
    </row>
    <row r="5" spans="1:7" ht="15.75" customHeight="1" x14ac:dyDescent="0.25">
      <c r="A5" s="5" t="s">
        <v>169</v>
      </c>
      <c r="B5" s="98">
        <v>0</v>
      </c>
      <c r="C5" s="98">
        <v>0.95</v>
      </c>
      <c r="D5" s="56">
        <v>2.8660164968156591E-2</v>
      </c>
      <c r="E5" s="56" t="s">
        <v>183</v>
      </c>
      <c r="F5" s="98">
        <v>1</v>
      </c>
      <c r="G5" s="98">
        <v>1</v>
      </c>
    </row>
    <row r="6" spans="1:7" ht="15.75" customHeight="1" x14ac:dyDescent="0.25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5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5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5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5">
      <c r="A10" s="11" t="s">
        <v>174</v>
      </c>
      <c r="B10" s="45">
        <v>0</v>
      </c>
      <c r="C10" s="98">
        <v>0.95</v>
      </c>
      <c r="D10" s="56">
        <v>14.98391555624624</v>
      </c>
      <c r="E10" s="56" t="s">
        <v>183</v>
      </c>
      <c r="F10" s="98">
        <v>1</v>
      </c>
      <c r="G10" s="98">
        <v>1</v>
      </c>
    </row>
    <row r="11" spans="1:7" ht="15.75" customHeight="1" x14ac:dyDescent="0.25">
      <c r="A11" s="11" t="s">
        <v>175</v>
      </c>
      <c r="B11" s="98">
        <v>0</v>
      </c>
      <c r="C11" s="98">
        <v>0.95</v>
      </c>
      <c r="D11" s="56">
        <v>14.98391555624624</v>
      </c>
      <c r="E11" s="56" t="s">
        <v>183</v>
      </c>
      <c r="F11" s="98">
        <v>1</v>
      </c>
      <c r="G11" s="98">
        <v>1</v>
      </c>
    </row>
    <row r="12" spans="1:7" ht="15.75" customHeight="1" x14ac:dyDescent="0.25">
      <c r="A12" s="11" t="s">
        <v>176</v>
      </c>
      <c r="B12" s="98">
        <v>0</v>
      </c>
      <c r="C12" s="98">
        <v>0.95</v>
      </c>
      <c r="D12" s="56">
        <v>14.98391555624624</v>
      </c>
      <c r="E12" s="56" t="s">
        <v>183</v>
      </c>
      <c r="F12" s="98">
        <v>1</v>
      </c>
      <c r="G12" s="98">
        <v>1</v>
      </c>
    </row>
    <row r="13" spans="1:7" ht="15.75" customHeight="1" x14ac:dyDescent="0.25">
      <c r="A13" s="11" t="s">
        <v>177</v>
      </c>
      <c r="B13" s="98">
        <v>0</v>
      </c>
      <c r="C13" s="98">
        <v>0.95</v>
      </c>
      <c r="D13" s="56">
        <v>14.98391555624624</v>
      </c>
      <c r="E13" s="56" t="s">
        <v>183</v>
      </c>
      <c r="F13" s="98">
        <v>1</v>
      </c>
      <c r="G13" s="98">
        <v>1</v>
      </c>
    </row>
    <row r="14" spans="1:7" ht="15.75" customHeight="1" x14ac:dyDescent="0.25">
      <c r="A14" s="5" t="s">
        <v>178</v>
      </c>
      <c r="B14" s="45">
        <v>0</v>
      </c>
      <c r="C14" s="98">
        <v>0.95</v>
      </c>
      <c r="D14" s="56">
        <v>14.98391555624624</v>
      </c>
      <c r="E14" s="56" t="s">
        <v>183</v>
      </c>
      <c r="F14" s="98">
        <v>1</v>
      </c>
      <c r="G14" s="98">
        <v>1</v>
      </c>
    </row>
    <row r="15" spans="1:7" ht="15.75" customHeight="1" x14ac:dyDescent="0.25">
      <c r="A15" s="5" t="s">
        <v>179</v>
      </c>
      <c r="B15" s="98">
        <v>0</v>
      </c>
      <c r="C15" s="98">
        <v>0.95</v>
      </c>
      <c r="D15" s="56">
        <v>14.98391555624624</v>
      </c>
      <c r="E15" s="56" t="s">
        <v>183</v>
      </c>
      <c r="F15" s="98">
        <v>1</v>
      </c>
      <c r="G15" s="98">
        <v>1</v>
      </c>
    </row>
    <row r="16" spans="1:7" ht="15.75" customHeight="1" x14ac:dyDescent="0.25">
      <c r="A16" s="5" t="s">
        <v>180</v>
      </c>
      <c r="B16" s="45">
        <v>0</v>
      </c>
      <c r="C16" s="98">
        <v>0.95</v>
      </c>
      <c r="D16" s="56">
        <v>0.18651362650506129</v>
      </c>
      <c r="E16" s="56" t="s">
        <v>183</v>
      </c>
      <c r="F16" s="98">
        <v>1</v>
      </c>
      <c r="G16" s="98">
        <v>1</v>
      </c>
    </row>
    <row r="17" spans="1:7" ht="15.75" customHeight="1" x14ac:dyDescent="0.25">
      <c r="A17" s="5" t="s">
        <v>181</v>
      </c>
      <c r="B17" s="98">
        <v>0.68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" customHeight="1" x14ac:dyDescent="0.25">
      <c r="A18" s="5" t="s">
        <v>151</v>
      </c>
      <c r="B18" s="98">
        <v>0</v>
      </c>
      <c r="C18" s="98">
        <v>0.95</v>
      </c>
      <c r="D18" s="56">
        <v>0.66496463640733372</v>
      </c>
      <c r="E18" s="56" t="s">
        <v>183</v>
      </c>
      <c r="F18" s="98">
        <v>1</v>
      </c>
      <c r="G18" s="98">
        <v>1</v>
      </c>
    </row>
    <row r="19" spans="1:7" ht="15.75" customHeight="1" x14ac:dyDescent="0.25">
      <c r="A19" s="5" t="s">
        <v>152</v>
      </c>
      <c r="B19" s="98">
        <v>0</v>
      </c>
      <c r="C19" s="98">
        <v>0.95</v>
      </c>
      <c r="D19" s="56">
        <v>0.66496463640733372</v>
      </c>
      <c r="E19" s="56" t="s">
        <v>183</v>
      </c>
      <c r="F19" s="98">
        <v>1</v>
      </c>
      <c r="G19" s="98">
        <v>1</v>
      </c>
    </row>
    <row r="20" spans="1:7" ht="15.75" customHeight="1" x14ac:dyDescent="0.25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5">
      <c r="A21" s="5" t="s">
        <v>182</v>
      </c>
      <c r="B21" s="45">
        <v>0.15741054713725999</v>
      </c>
      <c r="C21" s="98">
        <v>0.95</v>
      </c>
      <c r="D21" s="56">
        <v>0.31107361314039889</v>
      </c>
      <c r="E21" s="56" t="s">
        <v>183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25.501496741923479</v>
      </c>
      <c r="E22" s="56" t="s">
        <v>183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1.345673084E-2</v>
      </c>
      <c r="C23" s="98">
        <v>0.95</v>
      </c>
      <c r="D23" s="56">
        <v>4.8905827235809092</v>
      </c>
      <c r="E23" s="56" t="s">
        <v>183</v>
      </c>
      <c r="F23" s="98">
        <v>1</v>
      </c>
      <c r="G23" s="98">
        <v>1</v>
      </c>
    </row>
    <row r="24" spans="1:7" ht="15.75" customHeight="1" x14ac:dyDescent="0.25">
      <c r="A24" s="5" t="s">
        <v>188</v>
      </c>
      <c r="B24" s="45">
        <v>0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5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5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5">
      <c r="A27" s="5" t="s">
        <v>191</v>
      </c>
      <c r="B27" s="45">
        <v>0</v>
      </c>
      <c r="C27" s="98">
        <v>0.95</v>
      </c>
      <c r="D27" s="56">
        <v>21.765226394387359</v>
      </c>
      <c r="E27" s="56" t="s">
        <v>183</v>
      </c>
      <c r="F27" s="98">
        <v>1</v>
      </c>
      <c r="G27" s="98">
        <v>1</v>
      </c>
    </row>
    <row r="28" spans="1:7" ht="15.75" customHeight="1" x14ac:dyDescent="0.25">
      <c r="A28" s="5" t="s">
        <v>192</v>
      </c>
      <c r="B28" s="45">
        <v>0.3860053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5">
      <c r="A29" s="5" t="s">
        <v>193</v>
      </c>
      <c r="B29" s="45">
        <v>0</v>
      </c>
      <c r="C29" s="98">
        <v>0.95</v>
      </c>
      <c r="D29" s="56">
        <v>56.776245279132063</v>
      </c>
      <c r="E29" s="56" t="s">
        <v>183</v>
      </c>
      <c r="F29" s="98">
        <v>1</v>
      </c>
      <c r="G29" s="98">
        <v>1</v>
      </c>
    </row>
    <row r="30" spans="1:7" ht="15.75" customHeight="1" x14ac:dyDescent="0.25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5">
      <c r="A31" s="5" t="s">
        <v>164</v>
      </c>
      <c r="B31" s="45">
        <v>0.46089999999999998</v>
      </c>
      <c r="C31" s="98">
        <v>0.95</v>
      </c>
      <c r="D31" s="56">
        <v>9.3761294689777941</v>
      </c>
      <c r="E31" s="56" t="s">
        <v>183</v>
      </c>
      <c r="F31" s="98">
        <v>1</v>
      </c>
      <c r="G31" s="98">
        <v>1</v>
      </c>
    </row>
    <row r="32" spans="1:7" ht="15.75" customHeight="1" x14ac:dyDescent="0.25">
      <c r="A32" s="5" t="s">
        <v>196</v>
      </c>
      <c r="B32" s="45">
        <v>0.41144239999999999</v>
      </c>
      <c r="C32" s="98">
        <v>0.95</v>
      </c>
      <c r="D32" s="56">
        <v>0.33062969270167181</v>
      </c>
      <c r="E32" s="56" t="s">
        <v>183</v>
      </c>
      <c r="F32" s="98">
        <v>1</v>
      </c>
      <c r="G32" s="98">
        <v>1</v>
      </c>
    </row>
    <row r="33" spans="1:7" ht="15.75" customHeight="1" x14ac:dyDescent="0.25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5">
      <c r="A34" s="5" t="s">
        <v>198</v>
      </c>
      <c r="B34" s="45">
        <v>0.113216843085857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5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5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5">
      <c r="A37" s="5" t="s">
        <v>201</v>
      </c>
      <c r="B37" s="45">
        <v>0.76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5">
      <c r="A38" s="5" t="s">
        <v>202</v>
      </c>
      <c r="B38" s="45">
        <v>3.0882237479090701E-2</v>
      </c>
      <c r="C38" s="98">
        <v>0.95</v>
      </c>
      <c r="D38" s="56">
        <v>5.9681168424615683</v>
      </c>
      <c r="E38" s="56" t="s">
        <v>183</v>
      </c>
      <c r="F38" s="98">
        <v>1</v>
      </c>
      <c r="G38" s="98">
        <v>1</v>
      </c>
    </row>
    <row r="39" spans="1:7" ht="15.75" customHeight="1" x14ac:dyDescent="0.25">
      <c r="A39" s="5" t="s">
        <v>203</v>
      </c>
      <c r="B39" s="45">
        <v>0.49399999999999999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VSNP4+qiSZdvSGwhMgutvNTzaBGYXRMuftLZYl+2M0S3lM8F+2Ne8ggXzBl3lCMfDDpK3/vld1Vj3En/stz4GA==" saltValue="ntfBE36Qn4VJlHZ+0DXQA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163</v>
      </c>
      <c r="B1" s="4" t="s">
        <v>205</v>
      </c>
      <c r="C1" s="4" t="s">
        <v>206</v>
      </c>
    </row>
    <row r="2" spans="1:3" x14ac:dyDescent="0.25">
      <c r="A2" s="57" t="s">
        <v>178</v>
      </c>
      <c r="B2" s="47" t="s">
        <v>191</v>
      </c>
      <c r="C2" s="47"/>
    </row>
    <row r="3" spans="1:3" x14ac:dyDescent="0.25">
      <c r="A3" s="57" t="s">
        <v>179</v>
      </c>
      <c r="B3" s="47" t="s">
        <v>191</v>
      </c>
      <c r="C3" s="47"/>
    </row>
    <row r="4" spans="1:3" x14ac:dyDescent="0.25">
      <c r="A4" s="57" t="s">
        <v>193</v>
      </c>
      <c r="B4" s="47" t="s">
        <v>184</v>
      </c>
      <c r="C4" s="47"/>
    </row>
    <row r="5" spans="1:3" x14ac:dyDescent="0.25">
      <c r="A5" s="57" t="s">
        <v>190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yx7vrsdr2XS337mtfT4PzQH/L3sRJt0WYv6WtjG0D2ga2ZRmtpntnRUmInb2Stm2+1iSDxPHPIQyuoBg6uZPiw==" saltValue="hMeTtoPdLr2RWlbQ92s2M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163</v>
      </c>
    </row>
    <row r="2" spans="1:1" x14ac:dyDescent="0.25">
      <c r="A2" s="33" t="s">
        <v>170</v>
      </c>
    </row>
    <row r="3" spans="1:1" x14ac:dyDescent="0.25">
      <c r="A3" s="33" t="s">
        <v>180</v>
      </c>
    </row>
    <row r="4" spans="1:1" x14ac:dyDescent="0.25">
      <c r="A4" s="33" t="s">
        <v>185</v>
      </c>
    </row>
    <row r="5" spans="1:1" x14ac:dyDescent="0.25">
      <c r="A5" s="33" t="s">
        <v>197</v>
      </c>
    </row>
    <row r="6" spans="1:1" x14ac:dyDescent="0.25">
      <c r="A6" s="33" t="s">
        <v>198</v>
      </c>
    </row>
    <row r="7" spans="1:1" x14ac:dyDescent="0.25">
      <c r="A7" s="33" t="s">
        <v>199</v>
      </c>
    </row>
    <row r="8" spans="1:1" x14ac:dyDescent="0.25">
      <c r="A8" s="33" t="s">
        <v>200</v>
      </c>
    </row>
    <row r="9" spans="1:1" x14ac:dyDescent="0.25">
      <c r="A9" s="33" t="s">
        <v>201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Zj2M588GbfhmTMZTWQ4idXQy6E0RMcT9A1e8679Vc5BOnTyFXBHfD3RCS5HKTW2FZtUpG3UF5kcUZwtjcYsqmg==" saltValue="WeZ1VjeNvNZ3XZNIuC0xt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5">
      <c r="A2" s="3" t="s">
        <v>84</v>
      </c>
      <c r="B2" s="21">
        <f>'Entradas de población-año base'!C51</f>
        <v>2.9</v>
      </c>
      <c r="C2" s="21">
        <f>'Entradas de población-año base'!C52</f>
        <v>2.9</v>
      </c>
      <c r="D2" s="21">
        <f>'Entradas de población-año base'!C53</f>
        <v>2.9</v>
      </c>
      <c r="E2" s="21">
        <f>'Entradas de población-año base'!C54</f>
        <v>2.9</v>
      </c>
      <c r="F2" s="21">
        <f>'Entradas de población-año base'!C55</f>
        <v>2.9</v>
      </c>
    </row>
    <row r="3" spans="1:6" ht="15.75" customHeight="1" x14ac:dyDescent="0.25">
      <c r="A3" s="3" t="s">
        <v>6</v>
      </c>
      <c r="B3" s="21">
        <f>frac_mam_1month * 2.6</f>
        <v>0.29120254665613282</v>
      </c>
      <c r="C3" s="21">
        <f>frac_mam_1_5months * 2.6</f>
        <v>0.29120254665613282</v>
      </c>
      <c r="D3" s="21">
        <f>frac_mam_6_11months * 2.6</f>
        <v>0.40556049048900583</v>
      </c>
      <c r="E3" s="21">
        <f>frac_mam_12_23months * 2.6</f>
        <v>0.3329371273517614</v>
      </c>
      <c r="F3" s="21">
        <f>frac_mam_24_59months * 2.6</f>
        <v>0.32151324450969621</v>
      </c>
    </row>
    <row r="4" spans="1:6" ht="15.75" customHeight="1" x14ac:dyDescent="0.25">
      <c r="A4" s="3" t="s">
        <v>207</v>
      </c>
      <c r="B4" s="21">
        <f>frac_sam_1month * 2.6</f>
        <v>0.22625849545001975</v>
      </c>
      <c r="C4" s="21">
        <f>frac_sam_1_5months * 2.6</f>
        <v>0.22625849545001975</v>
      </c>
      <c r="D4" s="21">
        <f>frac_sam_6_11months * 2.6</f>
        <v>0.299175317585469</v>
      </c>
      <c r="E4" s="21">
        <f>frac_sam_12_23months * 2.6</f>
        <v>0.25278518199920652</v>
      </c>
      <c r="F4" s="21">
        <f>frac_sam_24_59months * 2.6</f>
        <v>0.24493354111909882</v>
      </c>
    </row>
  </sheetData>
  <sheetProtection algorithmName="SHA-512" hashValue="ESxiF9dUaJG2UMF94Y2dF0gNAycdsZmnYXo7hV+Lu5tjjPGh1aSWF1WNgMiFr6v8LHgDE65CIk/TNkJr7T4OEQ==" saltValue="ysI2wrOdRykE9/2c5XbAA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">
      <c r="A2" s="4" t="s">
        <v>83</v>
      </c>
      <c r="B2" s="5" t="s">
        <v>167</v>
      </c>
      <c r="C2" s="60">
        <v>0</v>
      </c>
      <c r="D2" s="60">
        <f>food_insecure</f>
        <v>0.42699999999999999</v>
      </c>
      <c r="E2" s="60">
        <f>food_insecure</f>
        <v>0.42699999999999999</v>
      </c>
      <c r="F2" s="60">
        <f>food_insecure</f>
        <v>0.42699999999999999</v>
      </c>
      <c r="G2" s="60">
        <f>food_insecure</f>
        <v>0.42699999999999999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0.42699999999999999</v>
      </c>
      <c r="F5" s="60">
        <f>food_insecure</f>
        <v>0.42699999999999999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192</v>
      </c>
      <c r="C7" s="60">
        <f>diarrhoea_1mo*frac_diarrhea_severe</f>
        <v>5.9999999999999984E-2</v>
      </c>
      <c r="D7" s="60">
        <f>diarrhoea_1_5mo*frac_diarrhea_severe</f>
        <v>5.9999999999999984E-2</v>
      </c>
      <c r="E7" s="60">
        <f>diarrhoea_6_11mo*frac_diarrhea_severe</f>
        <v>5.9999999999999984E-2</v>
      </c>
      <c r="F7" s="60">
        <f>diarrhoea_12_23mo*frac_diarrhea_severe</f>
        <v>5.9999999999999984E-2</v>
      </c>
      <c r="G7" s="60">
        <f>diarrhoea_24_59mo*frac_diarrhea_severe</f>
        <v>5.9999999999999984E-2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193</v>
      </c>
      <c r="C8" s="60">
        <v>0</v>
      </c>
      <c r="D8" s="60">
        <v>0</v>
      </c>
      <c r="E8" s="60">
        <f>food_insecure</f>
        <v>0.42699999999999999</v>
      </c>
      <c r="F8" s="60">
        <f>food_insecure</f>
        <v>0.42699999999999999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204</v>
      </c>
      <c r="C9" s="60">
        <v>0</v>
      </c>
      <c r="D9" s="60">
        <v>0</v>
      </c>
      <c r="E9" s="60">
        <f>food_insecure</f>
        <v>0.42699999999999999</v>
      </c>
      <c r="F9" s="60">
        <f>food_insecure</f>
        <v>0.42699999999999999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164</v>
      </c>
      <c r="C10" s="60">
        <v>0</v>
      </c>
      <c r="D10" s="60">
        <f>IF(ISBLANK(comm_deliv), frac_children_health_facility,1)</f>
        <v>0.47599999999999998</v>
      </c>
      <c r="E10" s="60">
        <f>IF(ISBLANK(comm_deliv), frac_children_health_facility,1)</f>
        <v>0.47599999999999998</v>
      </c>
      <c r="F10" s="60">
        <f>IF(ISBLANK(comm_deliv), frac_children_health_facility,1)</f>
        <v>0.47599999999999998</v>
      </c>
      <c r="G10" s="60">
        <f>IF(ISBLANK(comm_deliv), frac_children_health_facility,1)</f>
        <v>0.47599999999999998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202</v>
      </c>
      <c r="C12" s="60">
        <f>diarrhoea_1mo*frac_diarrhea_severe</f>
        <v>5.9999999999999984E-2</v>
      </c>
      <c r="D12" s="60">
        <f>diarrhoea_1_5mo*frac_diarrhea_severe</f>
        <v>5.9999999999999984E-2</v>
      </c>
      <c r="E12" s="60">
        <f>diarrhoea_6_11mo*frac_diarrhea_severe</f>
        <v>5.9999999999999984E-2</v>
      </c>
      <c r="F12" s="60">
        <f>diarrhoea_12_23mo*frac_diarrhea_severe</f>
        <v>5.9999999999999984E-2</v>
      </c>
      <c r="G12" s="60">
        <f>diarrhoea_24_59mo*frac_diarrhea_severe</f>
        <v>5.9999999999999984E-2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0.42699999999999999</v>
      </c>
      <c r="I15" s="60">
        <f>food_insecure</f>
        <v>0.42699999999999999</v>
      </c>
      <c r="J15" s="60">
        <f>food_insecure</f>
        <v>0.42699999999999999</v>
      </c>
      <c r="K15" s="60">
        <f>food_insecure</f>
        <v>0.42699999999999999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0.17</v>
      </c>
      <c r="I18" s="60">
        <f>frac_PW_health_facility</f>
        <v>0.17</v>
      </c>
      <c r="J18" s="60">
        <f>frac_PW_health_facility</f>
        <v>0.17</v>
      </c>
      <c r="K18" s="60">
        <f>frac_PW_health_facility</f>
        <v>0.17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0.39</v>
      </c>
      <c r="I19" s="60">
        <f>frac_malaria_risk</f>
        <v>0.39</v>
      </c>
      <c r="J19" s="60">
        <f>frac_malaria_risk</f>
        <v>0.39</v>
      </c>
      <c r="K19" s="60">
        <f>frac_malaria_risk</f>
        <v>0.39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0.94400000000000006</v>
      </c>
      <c r="M24" s="60">
        <f>famplan_unmet_need</f>
        <v>0.94400000000000006</v>
      </c>
      <c r="N24" s="60">
        <f>famplan_unmet_need</f>
        <v>0.94400000000000006</v>
      </c>
      <c r="O24" s="60">
        <f>famplan_unmet_need</f>
        <v>0.94400000000000006</v>
      </c>
    </row>
    <row r="25" spans="1:15" ht="15.75" customHeight="1" x14ac:dyDescent="0.25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0.55628066465883252</v>
      </c>
      <c r="M25" s="60">
        <f>(1-food_insecure)*(0.49)+food_insecure*(0.7)</f>
        <v>0.57966999999999991</v>
      </c>
      <c r="N25" s="60">
        <f>(1-food_insecure)*(0.49)+food_insecure*(0.7)</f>
        <v>0.57966999999999991</v>
      </c>
      <c r="O25" s="60">
        <f>(1-food_insecure)*(0.49)+food_insecure*(0.7)</f>
        <v>0.57966999999999991</v>
      </c>
    </row>
    <row r="26" spans="1:15" ht="15.75" customHeight="1" x14ac:dyDescent="0.25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0.23840599913949964</v>
      </c>
      <c r="M26" s="60">
        <f>(1-food_insecure)*(0.21)+food_insecure*(0.3)</f>
        <v>0.24842999999999998</v>
      </c>
      <c r="N26" s="60">
        <f>(1-food_insecure)*(0.21)+food_insecure*(0.3)</f>
        <v>0.24842999999999998</v>
      </c>
      <c r="O26" s="60">
        <f>(1-food_insecure)*(0.21)+food_insecure*(0.3)</f>
        <v>0.24842999999999998</v>
      </c>
    </row>
    <row r="27" spans="1:15" ht="15.75" customHeight="1" x14ac:dyDescent="0.25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0.16496393854236599</v>
      </c>
      <c r="M27" s="60">
        <f>(1-food_insecure)*(0.3)</f>
        <v>0.17189999999999997</v>
      </c>
      <c r="N27" s="60">
        <f>(1-food_insecure)*(0.3)</f>
        <v>0.17189999999999997</v>
      </c>
      <c r="O27" s="60">
        <f>(1-food_insecure)*(0.3)</f>
        <v>0.17189999999999997</v>
      </c>
    </row>
    <row r="28" spans="1:15" ht="15.75" customHeight="1" x14ac:dyDescent="0.25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4.0349397659301803E-2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0.39</v>
      </c>
      <c r="D34" s="60">
        <f t="shared" si="3"/>
        <v>0.39</v>
      </c>
      <c r="E34" s="60">
        <f t="shared" si="3"/>
        <v>0.39</v>
      </c>
      <c r="F34" s="60">
        <f t="shared" si="3"/>
        <v>0.39</v>
      </c>
      <c r="G34" s="60">
        <f t="shared" si="3"/>
        <v>0.39</v>
      </c>
      <c r="H34" s="60">
        <f t="shared" si="3"/>
        <v>0.39</v>
      </c>
      <c r="I34" s="60">
        <f t="shared" si="3"/>
        <v>0.39</v>
      </c>
      <c r="J34" s="60">
        <f t="shared" si="3"/>
        <v>0.39</v>
      </c>
      <c r="K34" s="60">
        <f t="shared" si="3"/>
        <v>0.39</v>
      </c>
      <c r="L34" s="60">
        <f t="shared" si="3"/>
        <v>0.39</v>
      </c>
      <c r="M34" s="60">
        <f t="shared" si="3"/>
        <v>0.39</v>
      </c>
      <c r="N34" s="60">
        <f t="shared" si="3"/>
        <v>0.39</v>
      </c>
      <c r="O34" s="60">
        <f t="shared" si="3"/>
        <v>0.39</v>
      </c>
    </row>
    <row r="35" spans="2:15" ht="15.75" customHeight="1" x14ac:dyDescent="0.25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8JpHXPI+dQv0KFfW6naFn11Hpd2lSfPArw6Rucp6sPLFAQIbRyVri6Jd1NOviuAp+Atgv9fH9v+ULVJiVRvig==" saltValue="6bnLBbJkggkv2Dv+iEBox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183</v>
      </c>
    </row>
    <row r="2" spans="1:1" x14ac:dyDescent="0.25">
      <c r="A2" s="8" t="s">
        <v>213</v>
      </c>
    </row>
    <row r="3" spans="1:1" x14ac:dyDescent="0.25">
      <c r="A3" s="8" t="s">
        <v>212</v>
      </c>
    </row>
    <row r="4" spans="1:1" x14ac:dyDescent="0.25">
      <c r="A4" s="8" t="s">
        <v>214</v>
      </c>
    </row>
  </sheetData>
  <sheetProtection algorithmName="SHA-512" hashValue="mdHVoZMGQBRUEDtYmsF1XvHQtCQZhz+AltlBNFfc0LDy/FxCWxbn2lxSC4v+1gaoEC9aiBv+sGk6FBHUwHmgGw==" saltValue="F1tCKE8Z2zYwQaUF1L6c9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4" customHeight="1" x14ac:dyDescent="0.3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LRm30LcRjScLEJzjQ+zyQHcrTxgnmWUCPzRdaskn9OLgK3K1eQyrjsqnFog49COaryTE3JIZX3jBcTW4gG9W4A==" saltValue="CSDnsMUypsRthjv0iB952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i0xlVA7/SVsJL5JfvzbGUeX/Fg9rBjm9M9jXciboMZ084FKJreZg3IyaucFRq96OBnjj16a8WWzaHxpWsCQ/Fw==" saltValue="7MC/yvq3U11LlKBb75CWxQ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Me8V9FvcatXe6vUtnyB4scG/UYikODU/Ls2uDx8xzYM+/CdjvykB8AsCxaXRgAbmQMm33SGUYNZ93gCq+jlg7g==" saltValue="z1FsFbvpJqoN8r+ghWJ+m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GgViIvOqgEejjLUjTpSdCLTLFF7jMaqgXXmKClgZqBZW2kLKDYSpvwn1XPTMO+wKxKvKYfjUf6iff+AJb8gREA==" saltValue="Ry06dTsyn/bI6WvzZWQWu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ht="13" customHeight="1" x14ac:dyDescent="0.3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78</v>
      </c>
      <c r="C5" s="8" t="s">
        <v>150</v>
      </c>
      <c r="D5" s="88">
        <f>IF(ISBLANK('Distribución de lactancia'!$C$2),1.56,(1.56-'Distribución de lactancia'!$C$2)/(1-'Distribución de lactancia'!$C$2))</f>
        <v>2.4452889419233341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149</v>
      </c>
      <c r="D6" s="88">
        <f>IF(ISBLANK('Distribución de lactancia'!$C$2),1.56,(1.56-'Distribución de lactancia'!$C$2)/(1-'Distribución de lactancia'!$C$2))</f>
        <v>2.4452889419233341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74</v>
      </c>
      <c r="C8" s="8" t="s">
        <v>150</v>
      </c>
      <c r="D8" s="88">
        <v>1</v>
      </c>
      <c r="E8" s="88">
        <f>IF(ISBLANK('Distribución de lactancia'!$D$2),1.56,(1.56-'Distribución de lactancia'!$D$2)/(1-'Distribución de lactancia'!$D$2))</f>
        <v>1.9514786658094299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149</v>
      </c>
      <c r="D9" s="88">
        <v>1</v>
      </c>
      <c r="E9" s="88">
        <f>IF(ISBLANK('Distribución de lactancia'!$D$2),1.56,(1.56-'Distribución de lactancia'!$D$2)/(1-'Distribución de lactancia'!$D$2))</f>
        <v>1.9514786658094299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77</v>
      </c>
      <c r="C11" s="8" t="s">
        <v>150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149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ht="13" customHeight="1" x14ac:dyDescent="0.3">
      <c r="A55" s="4" t="s">
        <v>237</v>
      </c>
      <c r="B55" s="103" t="s">
        <v>104</v>
      </c>
      <c r="C55" s="8" t="s">
        <v>150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149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78</v>
      </c>
      <c r="C58" s="8" t="s">
        <v>150</v>
      </c>
      <c r="D58" s="88">
        <f>IF(ISBLANK('Distribución de lactancia'!$C$2),1.37,(1.37-'Distribución de lactancia'!$C$2)/(1-'Distribución de lactancia'!$C$2))</f>
        <v>1.9549230509136317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149</v>
      </c>
      <c r="D59" s="88">
        <f>IF(ISBLANK('Distribución de lactancia'!$C$2),1.37,(1.37-'Distribución de lactancia'!$C$2)/(1-'Distribución de lactancia'!$C$2))</f>
        <v>1.9549230509136317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74</v>
      </c>
      <c r="C61" s="8" t="s">
        <v>150</v>
      </c>
      <c r="D61" s="88">
        <f t="shared" si="2"/>
        <v>1</v>
      </c>
      <c r="E61" s="88">
        <f>IF(ISBLANK('Distribución de lactancia'!$D$2),1.37,(1.37-'Distribución de lactancia'!$D$2)/(1-'Distribución de lactancia'!$D$2))</f>
        <v>1.6286555470526591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149</v>
      </c>
      <c r="D62" s="88">
        <f t="shared" si="2"/>
        <v>1</v>
      </c>
      <c r="E62" s="88">
        <f>IF(ISBLANK('Distribución de lactancia'!$D$2),1.37,(1.37-'Distribución de lactancia'!$D$2)/(1-'Distribución de lactancia'!$D$2))</f>
        <v>1.6286555470526591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77</v>
      </c>
      <c r="C64" s="8" t="s">
        <v>150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149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75</v>
      </c>
      <c r="C67" s="8" t="s">
        <v>150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149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148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243</v>
      </c>
      <c r="B72" s="103" t="s">
        <v>104</v>
      </c>
      <c r="C72" s="8" t="s">
        <v>150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149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78</v>
      </c>
      <c r="C75" s="8" t="s">
        <v>150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149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74</v>
      </c>
      <c r="C78" s="8" t="s">
        <v>150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149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77</v>
      </c>
      <c r="C81" s="8" t="s">
        <v>150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149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75</v>
      </c>
      <c r="C84" s="8" t="s">
        <v>150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149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148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240</v>
      </c>
      <c r="B89" s="103" t="s">
        <v>104</v>
      </c>
      <c r="C89" s="8" t="s">
        <v>150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149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78</v>
      </c>
      <c r="C92" s="8" t="s">
        <v>150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149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74</v>
      </c>
      <c r="C95" s="8" t="s">
        <v>150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149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77</v>
      </c>
      <c r="C98" s="8" t="s">
        <v>150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149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75</v>
      </c>
      <c r="C101" s="8" t="s">
        <v>150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149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148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ht="13" customHeight="1" x14ac:dyDescent="0.3">
      <c r="A108" s="4" t="s">
        <v>238</v>
      </c>
      <c r="B108" s="103" t="s">
        <v>104</v>
      </c>
      <c r="C108" s="8" t="s">
        <v>150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149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78</v>
      </c>
      <c r="C111" s="8" t="s">
        <v>150</v>
      </c>
      <c r="D111" s="88">
        <f>IF(ISBLANK('Distribución de lactancia'!$C$2),1.77,(1.77-'Distribución de lactancia'!$C$2)/(1-'Distribución de lactancia'!$C$2))</f>
        <v>2.9872722951445843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149</v>
      </c>
      <c r="D112" s="88">
        <f>IF(ISBLANK('Distribución de lactancia'!$C$2),1.77,(1.77-'Distribución de lactancia'!$C$2)/(1-'Distribución de lactancia'!$C$2))</f>
        <v>2.9872722951445843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74</v>
      </c>
      <c r="C114" s="8" t="s">
        <v>150</v>
      </c>
      <c r="D114" s="88">
        <f t="shared" si="12"/>
        <v>1</v>
      </c>
      <c r="E114" s="88">
        <f>IF(ISBLANK('Distribución de lactancia'!$D$2),1.77,(1.77-'Distribución de lactancia'!$D$2)/(1-'Distribución de lactancia'!$D$2))</f>
        <v>2.3082831654879659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149</v>
      </c>
      <c r="D115" s="88">
        <f t="shared" si="12"/>
        <v>1</v>
      </c>
      <c r="E115" s="88">
        <f>IF(ISBLANK('Distribución de lactancia'!$D$2),1.77,(1.77-'Distribución de lactancia'!$D$2)/(1-'Distribución de lactancia'!$D$2))</f>
        <v>2.3082831654879659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77</v>
      </c>
      <c r="C117" s="8" t="s">
        <v>150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149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75</v>
      </c>
      <c r="C120" s="8" t="s">
        <v>150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149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148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244</v>
      </c>
      <c r="B125" s="103" t="s">
        <v>104</v>
      </c>
      <c r="C125" s="8" t="s">
        <v>150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149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78</v>
      </c>
      <c r="C128" s="8" t="s">
        <v>150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149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74</v>
      </c>
      <c r="C131" s="8" t="s">
        <v>150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149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77</v>
      </c>
      <c r="C134" s="8" t="s">
        <v>150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149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75</v>
      </c>
      <c r="C137" s="8" t="s">
        <v>150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149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148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241</v>
      </c>
      <c r="B142" s="103" t="s">
        <v>104</v>
      </c>
      <c r="C142" s="8" t="s">
        <v>150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149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78</v>
      </c>
      <c r="C145" s="8" t="s">
        <v>150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149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74</v>
      </c>
      <c r="C148" s="8" t="s">
        <v>150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149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77</v>
      </c>
      <c r="C151" s="8" t="s">
        <v>150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149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75</v>
      </c>
      <c r="C154" s="8" t="s">
        <v>150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149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148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p9cgJ7PcnPDTIjM7PkgHVQ9ufev0LLYXIxIhK0RFTpvy3IVs4fhPOg1E5xh6EY4gcX90t8NxCfUhpiikoqKFGw==" saltValue="QZIbyNIZGF4B1quyQWfBeg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248</v>
      </c>
    </row>
    <row r="2" spans="1:6" ht="15.75" customHeight="1" x14ac:dyDescent="0.3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3">
      <c r="A3" s="4" t="s">
        <v>255</v>
      </c>
      <c r="B3" s="14"/>
      <c r="C3" s="71"/>
      <c r="D3" s="72"/>
      <c r="E3" s="72"/>
      <c r="F3" s="72"/>
    </row>
    <row r="4" spans="1:6" ht="15.75" customHeight="1" x14ac:dyDescent="0.25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261</v>
      </c>
      <c r="C11" s="74"/>
      <c r="D11" s="75"/>
      <c r="E11" s="75"/>
      <c r="F11" s="75"/>
    </row>
    <row r="12" spans="1:6" ht="15.75" customHeight="1" x14ac:dyDescent="0.3">
      <c r="A12" s="4" t="s">
        <v>249</v>
      </c>
      <c r="C12" s="73"/>
      <c r="D12" s="64"/>
      <c r="E12" s="64"/>
      <c r="F12" s="64"/>
    </row>
    <row r="13" spans="1:6" ht="15.75" customHeight="1" x14ac:dyDescent="0.25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5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97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95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91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248</v>
      </c>
    </row>
    <row r="29" spans="1:6" ht="15.75" customHeight="1" x14ac:dyDescent="0.3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3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5">
      <c r="B31" s="5" t="s">
        <v>27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63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10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11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253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3">
      <c r="A39" s="4" t="s">
        <v>250</v>
      </c>
      <c r="C39" s="73"/>
      <c r="D39" s="64"/>
      <c r="E39" s="64"/>
      <c r="F39" s="64"/>
    </row>
    <row r="40" spans="1:6" ht="15.75" customHeight="1" x14ac:dyDescent="0.25">
      <c r="B40" s="11" t="s">
        <v>265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246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262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5">
      <c r="B45" s="5" t="s">
        <v>93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97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95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91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96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98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92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94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248</v>
      </c>
    </row>
    <row r="56" spans="1:6" ht="15.75" customHeight="1" x14ac:dyDescent="0.3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63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10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11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254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3">
      <c r="A66" s="4" t="s">
        <v>251</v>
      </c>
      <c r="C66" s="73"/>
      <c r="D66" s="64"/>
      <c r="E66" s="64"/>
      <c r="F66" s="64"/>
    </row>
    <row r="67" spans="1:6" ht="15.75" customHeight="1" x14ac:dyDescent="0.25">
      <c r="B67" s="11" t="s">
        <v>266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247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263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5">
      <c r="B72" s="5" t="s">
        <v>93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97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95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91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96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98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92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94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e9nz+r3InULT1KaNdoJhwuufYAyeryX97HjZcl1wAFCwcL+xU/qEOFfNGzZVmvWveQFV8IVDPPYkaGdCXUsu7A==" saltValue="L7axCZa0cUZ0NVu1cqxIF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278</v>
      </c>
    </row>
    <row r="2" spans="1:16" ht="13" customHeight="1" x14ac:dyDescent="0.3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279</v>
      </c>
    </row>
    <row r="29" spans="1:16" ht="13" customHeight="1" x14ac:dyDescent="0.3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276</v>
      </c>
    </row>
    <row r="56" spans="1:16" ht="26" customHeight="1" x14ac:dyDescent="0.3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277</v>
      </c>
    </row>
    <row r="65" spans="1:16" ht="26" customHeight="1" x14ac:dyDescent="0.3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93</v>
      </c>
      <c r="C66" s="3" t="s">
        <v>124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97</v>
      </c>
      <c r="C70" s="3" t="s">
        <v>124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95</v>
      </c>
      <c r="C74" s="3" t="s">
        <v>124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ht="13" customHeight="1" x14ac:dyDescent="0.3">
      <c r="A113" s="4"/>
      <c r="B113" s="8" t="s">
        <v>84</v>
      </c>
      <c r="C113" s="3" t="s">
        <v>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273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274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272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102</v>
      </c>
      <c r="C117" s="3" t="s">
        <v>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273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274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272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273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274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272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3</v>
      </c>
      <c r="C125" s="3" t="s">
        <v>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273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274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272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2</v>
      </c>
      <c r="C129" s="3" t="s">
        <v>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273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274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272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99</v>
      </c>
      <c r="C133" s="3" t="s">
        <v>7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273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274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272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ht="13" customHeight="1" x14ac:dyDescent="0.3">
      <c r="A140" s="4"/>
      <c r="B140" s="8" t="s">
        <v>84</v>
      </c>
      <c r="C140" s="3" t="s">
        <v>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273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6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207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102</v>
      </c>
      <c r="C144" s="3" t="s">
        <v>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273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6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207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273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6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207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3</v>
      </c>
      <c r="C152" s="3" t="s">
        <v>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273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6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207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2</v>
      </c>
      <c r="C156" s="3" t="s">
        <v>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273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6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207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99</v>
      </c>
      <c r="C160" s="3" t="s">
        <v>7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273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6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207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ht="13" customHeight="1" x14ac:dyDescent="0.3">
      <c r="A167" s="4"/>
      <c r="B167" s="8" t="s">
        <v>81</v>
      </c>
      <c r="C167" s="3" t="s">
        <v>275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268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89</v>
      </c>
      <c r="C169" s="3" t="s">
        <v>275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268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275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268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ht="13" customHeight="1" x14ac:dyDescent="0.3">
      <c r="A176" s="82"/>
      <c r="B176" s="8" t="s">
        <v>93</v>
      </c>
      <c r="C176" s="3" t="s">
        <v>124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127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126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125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97</v>
      </c>
      <c r="C180" s="3" t="s">
        <v>124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127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126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125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95</v>
      </c>
      <c r="C184" s="3" t="s">
        <v>124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127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126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125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96</v>
      </c>
      <c r="C188" s="3" t="s">
        <v>124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127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126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125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84</v>
      </c>
      <c r="C192" s="3" t="s">
        <v>124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127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126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125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102</v>
      </c>
      <c r="C196" s="3" t="s">
        <v>124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127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126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125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124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127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126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125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2</v>
      </c>
      <c r="C204" s="3" t="s">
        <v>124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127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126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125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101</v>
      </c>
      <c r="C208" s="3" t="s">
        <v>124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127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126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125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ht="13" customHeight="1" x14ac:dyDescent="0.3">
      <c r="A215" s="4"/>
      <c r="C215" s="3" t="s">
        <v>124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127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126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125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245</v>
      </c>
      <c r="H220" s="92"/>
    </row>
    <row r="221" spans="1:9" ht="13" customHeight="1" x14ac:dyDescent="0.3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ht="13" customHeight="1" x14ac:dyDescent="0.3">
      <c r="A223" s="4"/>
      <c r="B223" s="8" t="s">
        <v>84</v>
      </c>
      <c r="C223" s="3" t="s">
        <v>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273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274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272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102</v>
      </c>
      <c r="C227" s="3" t="s">
        <v>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273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274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272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273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274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272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3</v>
      </c>
      <c r="C235" s="3" t="s">
        <v>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273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274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272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2</v>
      </c>
      <c r="C239" s="3" t="s">
        <v>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273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274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272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99</v>
      </c>
      <c r="C243" s="3" t="s">
        <v>7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273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274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272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ht="13" customHeight="1" x14ac:dyDescent="0.3">
      <c r="A250" s="4"/>
      <c r="B250" s="8" t="s">
        <v>84</v>
      </c>
      <c r="C250" s="3" t="s">
        <v>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273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6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207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102</v>
      </c>
      <c r="C254" s="3" t="s">
        <v>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273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6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207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273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6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207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3</v>
      </c>
      <c r="C262" s="3" t="s">
        <v>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273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6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207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2</v>
      </c>
      <c r="C266" s="3" t="s">
        <v>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273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6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207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99</v>
      </c>
      <c r="C270" s="3" t="s">
        <v>7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273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6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207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ht="13" customHeight="1" x14ac:dyDescent="0.3">
      <c r="A277" s="4"/>
      <c r="B277" s="8" t="s">
        <v>81</v>
      </c>
      <c r="C277" s="3" t="s">
        <v>275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268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89</v>
      </c>
      <c r="C279" s="3" t="s">
        <v>275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268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275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268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ht="13" customHeight="1" x14ac:dyDescent="0.3">
      <c r="A286" s="82"/>
      <c r="B286" s="8" t="s">
        <v>93</v>
      </c>
      <c r="C286" s="3" t="s">
        <v>124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127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126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125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97</v>
      </c>
      <c r="C290" s="3" t="s">
        <v>124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127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126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125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95</v>
      </c>
      <c r="C294" s="3" t="s">
        <v>124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127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126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125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96</v>
      </c>
      <c r="C298" s="3" t="s">
        <v>124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127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126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125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84</v>
      </c>
      <c r="C302" s="3" t="s">
        <v>124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127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126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125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102</v>
      </c>
      <c r="C306" s="3" t="s">
        <v>124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127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126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125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124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127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126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125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2</v>
      </c>
      <c r="C314" s="3" t="s">
        <v>124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127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126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125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101</v>
      </c>
      <c r="C318" s="3" t="s">
        <v>124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127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126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125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ht="13" customHeight="1" x14ac:dyDescent="0.3">
      <c r="A325" s="4"/>
      <c r="C325" s="3" t="s">
        <v>124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127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126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125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8W5N+lSWs5vQxP0BEDO2o3CE+RKNymWR9yaQs3itRn0+si9sD1ajWpWePW0xLkpmoDFaIlKWQT+YsLsSNM9RMQ==" saltValue="kQClBEX1pHo9Jg/c3J/6G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313</v>
      </c>
    </row>
    <row r="2" spans="1:7" ht="14.25" customHeight="1" x14ac:dyDescent="0.3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5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283</v>
      </c>
    </row>
    <row r="6" spans="1:7" ht="14.25" customHeight="1" x14ac:dyDescent="0.25">
      <c r="B6" s="5" t="s">
        <v>193</v>
      </c>
      <c r="C6" s="90">
        <v>1</v>
      </c>
      <c r="D6" s="90">
        <v>1</v>
      </c>
      <c r="E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0.59481595868259551</v>
      </c>
      <c r="F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0.59481595868259551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0.85826778381928515</v>
      </c>
      <c r="F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0.85826778381928515</v>
      </c>
      <c r="G7" s="90">
        <v>1</v>
      </c>
    </row>
    <row r="8" spans="1:7" ht="14.25" customHeight="1" x14ac:dyDescent="0.25">
      <c r="B8" s="5" t="s">
        <v>204</v>
      </c>
      <c r="C8" s="90">
        <v>1</v>
      </c>
      <c r="D8" s="90">
        <v>1</v>
      </c>
      <c r="E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0.85826778381928515</v>
      </c>
      <c r="F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0.85826778381928515</v>
      </c>
      <c r="G8" s="90">
        <v>1</v>
      </c>
    </row>
    <row r="9" spans="1:7" ht="14.25" customHeight="1" x14ac:dyDescent="0.25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307</v>
      </c>
    </row>
    <row r="12" spans="1:7" ht="14.25" customHeight="1" x14ac:dyDescent="0.3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314</v>
      </c>
    </row>
    <row r="15" spans="1:7" ht="14.25" customHeight="1" x14ac:dyDescent="0.3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310</v>
      </c>
    </row>
    <row r="20" spans="1:7" s="14" customFormat="1" ht="14.25" customHeight="1" x14ac:dyDescent="0.3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5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313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5">
      <c r="B26" s="11" t="s">
        <v>301</v>
      </c>
      <c r="C26" s="90" t="s">
        <v>8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287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284</v>
      </c>
    </row>
    <row r="29" spans="1:7" x14ac:dyDescent="0.25">
      <c r="B29" s="5" t="s">
        <v>315</v>
      </c>
      <c r="C29" s="90">
        <f t="shared" ref="C29:D32" si="0">IF(C6=1,1,C6*0.9)</f>
        <v>1</v>
      </c>
      <c r="D29" s="90">
        <f t="shared" si="0"/>
        <v>1</v>
      </c>
      <c r="E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0.39350193706075004</v>
      </c>
      <c r="F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0.39350193706075004</v>
      </c>
      <c r="G29" s="90">
        <f>IF(G6=1,1,G6*0.9)</f>
        <v>1</v>
      </c>
    </row>
    <row r="30" spans="1:7" x14ac:dyDescent="0.25">
      <c r="B30" s="5" t="s">
        <v>305</v>
      </c>
      <c r="C30" s="90">
        <f t="shared" si="0"/>
        <v>1</v>
      </c>
      <c r="D30" s="90">
        <f t="shared" si="0"/>
        <v>1</v>
      </c>
      <c r="E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0.8239218232405956</v>
      </c>
      <c r="F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0.8239218232405956</v>
      </c>
      <c r="G30" s="90">
        <f>IF(G7=1,1,G7*0.9)</f>
        <v>1</v>
      </c>
    </row>
    <row r="31" spans="1:7" x14ac:dyDescent="0.25">
      <c r="B31" s="5" t="s">
        <v>319</v>
      </c>
      <c r="C31" s="90">
        <f t="shared" si="0"/>
        <v>1</v>
      </c>
      <c r="D31" s="90">
        <f t="shared" si="0"/>
        <v>1</v>
      </c>
      <c r="E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0.8239218232405956</v>
      </c>
      <c r="F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0.8239218232405956</v>
      </c>
      <c r="G31" s="90">
        <f>IF(G8=1,1,G8*0.9)</f>
        <v>1</v>
      </c>
    </row>
    <row r="32" spans="1:7" x14ac:dyDescent="0.25">
      <c r="B32" s="5" t="s">
        <v>317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308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314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282</v>
      </c>
      <c r="B38" s="5" t="s">
        <v>295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105</v>
      </c>
      <c r="B40" s="11" t="s">
        <v>298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311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5">
      <c r="B44" s="11" t="s">
        <v>289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245</v>
      </c>
    </row>
    <row r="47" spans="1:7" ht="13" customHeight="1" x14ac:dyDescent="0.3">
      <c r="A47" s="67" t="s">
        <v>313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5">
      <c r="B49" s="11" t="s">
        <v>302</v>
      </c>
      <c r="C49" s="90" t="s">
        <v>8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288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285</v>
      </c>
    </row>
    <row r="52" spans="1:7" x14ac:dyDescent="0.25">
      <c r="B52" s="5" t="s">
        <v>316</v>
      </c>
      <c r="C52" s="90">
        <f t="shared" ref="C52:D55" si="3">IF(C6=1,1,C6*1.1)</f>
        <v>1</v>
      </c>
      <c r="D52" s="90">
        <f t="shared" si="3"/>
        <v>1</v>
      </c>
      <c r="E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0.90472758286236654</v>
      </c>
      <c r="F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0.90472758286236654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0.8930404777908173</v>
      </c>
      <c r="F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0.8930404777908173</v>
      </c>
      <c r="G53" s="90">
        <f>IF(G7=1,1,G7*1.1)</f>
        <v>1</v>
      </c>
    </row>
    <row r="54" spans="1:7" x14ac:dyDescent="0.25">
      <c r="B54" s="5" t="s">
        <v>320</v>
      </c>
      <c r="C54" s="90">
        <f t="shared" si="3"/>
        <v>1</v>
      </c>
      <c r="D54" s="90">
        <f t="shared" si="3"/>
        <v>1</v>
      </c>
      <c r="E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0.8930404777908173</v>
      </c>
      <c r="F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0.8930404777908173</v>
      </c>
      <c r="G54" s="90">
        <f>IF(G8=1,1,G8*1.1)</f>
        <v>1</v>
      </c>
    </row>
    <row r="55" spans="1:7" x14ac:dyDescent="0.25">
      <c r="B55" s="5" t="s">
        <v>318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309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314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282</v>
      </c>
      <c r="B61" s="5" t="s">
        <v>296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293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105</v>
      </c>
      <c r="B63" s="11" t="s">
        <v>299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312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5">
      <c r="B67" s="11" t="s">
        <v>290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BUFIUadqShC+PJqNp/23i9jVgllXp937r4IK9fYa5PEAHy9FW+1y1YrCjx0uASJFbovfjubLizR1PmRI3Ks+6w==" saltValue="HaFYOKDLS00ni8AXx2OQt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5">
      <c r="A2" s="5" t="s">
        <v>165</v>
      </c>
      <c r="B2" s="5" t="s">
        <v>322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178</v>
      </c>
      <c r="B4" s="5" t="s">
        <v>322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179</v>
      </c>
      <c r="B6" s="5" t="s">
        <v>322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191</v>
      </c>
      <c r="B12" s="5" t="s">
        <v>322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5">
      <c r="A17" s="5" t="s">
        <v>165</v>
      </c>
      <c r="B17" s="5" t="s">
        <v>322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178</v>
      </c>
      <c r="B19" s="5" t="s">
        <v>322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179</v>
      </c>
      <c r="B21" s="5" t="s">
        <v>322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180</v>
      </c>
      <c r="B23" s="5" t="s">
        <v>322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322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191</v>
      </c>
      <c r="B27" s="5" t="s">
        <v>322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245</v>
      </c>
    </row>
    <row r="31" spans="1:6" ht="15.75" customHeight="1" x14ac:dyDescent="0.3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5">
      <c r="A32" s="5" t="s">
        <v>165</v>
      </c>
      <c r="B32" s="5" t="s">
        <v>322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178</v>
      </c>
      <c r="B34" s="5" t="s">
        <v>322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179</v>
      </c>
      <c r="B36" s="5" t="s">
        <v>322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180</v>
      </c>
      <c r="B38" s="5" t="s">
        <v>322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322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191</v>
      </c>
      <c r="B42" s="5" t="s">
        <v>322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Sxscvlj4lOohDOa/qMVoJfuK5TUHwI2yZQX9UofhDFliK/YPuS7ysZ8HiFGITBtINRjqiuGlSk8T6vAAx/DZMg==" saltValue="Ovqx7z+aW0u4oKfWy5SyE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ht="13" customHeight="1" x14ac:dyDescent="0.3">
      <c r="A2" s="4" t="s">
        <v>326</v>
      </c>
    </row>
    <row r="3" spans="1:15" x14ac:dyDescent="0.25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204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171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172</v>
      </c>
      <c r="C19" s="90">
        <v>1</v>
      </c>
      <c r="D19" s="90">
        <v>1</v>
      </c>
      <c r="E19" s="90">
        <f>IF(ISBLANK('Distribución estado nutricional'!E$14),0.72,(0.72*'Distribución estado nutricional'!E$14/(1-0.72*'Distribución estado nutricional'!E$14))
/ ('Distribución estado nutricional'!E$14/(1-'Distribución estado nutricional'!E$14)))</f>
        <v>0.43079783006287031</v>
      </c>
      <c r="F19" s="90">
        <f>IF(ISBLANK('Distribución estado nutricional'!F$14),0.72,(0.72*'Distribución estado nutricional'!F$14/(1-0.72*'Distribución estado nutricional'!F$14))
/ ('Distribución estado nutricional'!F$14/(1-'Distribución estado nutricional'!F$14)))</f>
        <v>0.47383392432005694</v>
      </c>
      <c r="G19" s="90">
        <f>IF(ISBLANK('Distribución estado nutricional'!G$14),0.72,(0.72*'Distribución estado nutricional'!G$14/(1-0.72*'Distribución estado nutricional'!G$14))
/ ('Distribución estado nutricional'!G$14/(1-'Distribución estado nutricional'!G$14)))</f>
        <v>0.47383392432005694</v>
      </c>
      <c r="H19" s="90">
        <f>IF(ISBLANK('Distribución estado nutricional'!H$14),0.72,(0.72*'Distribución estado nutricional'!H$14/(1-0.72*'Distribución estado nutricional'!H$14))
/ ('Distribución estado nutricional'!H$14/(1-'Distribución estado nutricional'!H$14)))</f>
        <v>0.61106789643293691</v>
      </c>
      <c r="I19" s="90">
        <f>IF(ISBLANK('Distribución estado nutricional'!I$14),0.72,(0.72*'Distribución estado nutricional'!I$14/(1-0.72*'Distribución estado nutricional'!I$14))
/ ('Distribución estado nutricional'!I$14/(1-'Distribución estado nutricional'!I$14)))</f>
        <v>0.61106789643293691</v>
      </c>
      <c r="J19" s="90">
        <f>IF(ISBLANK('Distribución estado nutricional'!J$14),0.72,(0.72*'Distribución estado nutricional'!J$14/(1-0.72*'Distribución estado nutricional'!J$14))
/ ('Distribución estado nutricional'!J$14/(1-'Distribución estado nutricional'!J$14)))</f>
        <v>0.61106789643293691</v>
      </c>
      <c r="K19" s="90">
        <f>IF(ISBLANK('Distribución estado nutricional'!K$14),0.72,(0.72*'Distribución estado nutricional'!K$14/(1-0.72*'Distribución estado nutricional'!K$14))
/ ('Distribución estado nutricional'!K$14/(1-'Distribución estado nutricional'!K$14)))</f>
        <v>0.61106789643293691</v>
      </c>
      <c r="L19" s="90">
        <f>IF(ISBLANK('Distribución estado nutricional'!L$14),0.72,(0.72*'Distribución estado nutricional'!L$14/(1-0.72*'Distribución estado nutricional'!L$14))
/ ('Distribución estado nutricional'!L$14/(1-'Distribución estado nutricional'!L$14)))</f>
        <v>0.63099630996309952</v>
      </c>
      <c r="M19" s="90">
        <f>IF(ISBLANK('Distribución estado nutricional'!M$14),0.72,(0.72*'Distribución estado nutricional'!M$14/(1-0.72*'Distribución estado nutricional'!M$14))
/ ('Distribución estado nutricional'!M$14/(1-'Distribución estado nutricional'!M$14)))</f>
        <v>0.63099630996309952</v>
      </c>
      <c r="N19" s="90">
        <f>IF(ISBLANK('Distribución estado nutricional'!N$14),0.72,(0.72*'Distribución estado nutricional'!N$14/(1-0.72*'Distribución estado nutricional'!N$14))
/ ('Distribución estado nutricional'!N$14/(1-'Distribución estado nutricional'!N$14)))</f>
        <v>0.63099630996309952</v>
      </c>
      <c r="O19" s="90">
        <f>IF(ISBLANK('Distribución estado nutricional'!O$14),0.72,(0.72*'Distribución estado nutricional'!O$14/(1-0.72*'Distribución estado nutricional'!O$14))
/ ('Distribución estado nutricional'!O$14/(1-'Distribución estado nutricional'!O$14)))</f>
        <v>0.63099630996309952</v>
      </c>
    </row>
    <row r="20" spans="1:15" x14ac:dyDescent="0.25">
      <c r="B20" s="5" t="s">
        <v>173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181</v>
      </c>
      <c r="C21" s="90">
        <v>1</v>
      </c>
      <c r="D21" s="90">
        <v>1</v>
      </c>
      <c r="E21" s="90">
        <f>IF(ISBLANK('Distribución estado nutricional'!E$14),0.8,(0.8*'Distribución estado nutricional'!E$14/(1-0.8*'Distribución estado nutricional'!E$14))
/ ('Distribución estado nutricional'!E$14/(1-'Distribución estado nutricional'!E$14)))</f>
        <v>0.54071862000244175</v>
      </c>
      <c r="F21" s="90">
        <f>IF(ISBLANK('Distribución estado nutricional'!F$14),0.8,(0.8*'Distribución estado nutricional'!F$14/(1-0.8*'Distribución estado nutricional'!F$14))
/ ('Distribución estado nutricional'!F$14/(1-'Distribución estado nutricional'!F$14)))</f>
        <v>0.58347928311998087</v>
      </c>
      <c r="G21" s="90">
        <f>IF(ISBLANK('Distribución estado nutricional'!G$14),0.8,(0.8*'Distribución estado nutricional'!G$14/(1-0.8*'Distribución estado nutricional'!G$14))
/ ('Distribución estado nutricional'!G$14/(1-'Distribución estado nutricional'!G$14)))</f>
        <v>0.58347928311998087</v>
      </c>
      <c r="H21" s="90">
        <f>IF(ISBLANK('Distribución estado nutricional'!H$14),0.8,(0.8*'Distribución estado nutricional'!H$14/(1-0.8*'Distribución estado nutricional'!H$14))
/ ('Distribución estado nutricional'!H$14/(1-'Distribución estado nutricional'!H$14)))</f>
        <v>0.70963995354239262</v>
      </c>
      <c r="I21" s="90">
        <f>IF(ISBLANK('Distribución estado nutricional'!I$14),0.8,(0.8*'Distribución estado nutricional'!I$14/(1-0.8*'Distribución estado nutricional'!I$14))
/ ('Distribución estado nutricional'!I$14/(1-'Distribución estado nutricional'!I$14)))</f>
        <v>0.70963995354239262</v>
      </c>
      <c r="J21" s="90">
        <f>IF(ISBLANK('Distribución estado nutricional'!J$14),0.8,(0.8*'Distribución estado nutricional'!J$14/(1-0.8*'Distribución estado nutricional'!J$14))
/ ('Distribución estado nutricional'!J$14/(1-'Distribución estado nutricional'!J$14)))</f>
        <v>0.70963995354239262</v>
      </c>
      <c r="K21" s="90">
        <f>IF(ISBLANK('Distribución estado nutricional'!K$14),0.8,(0.8*'Distribución estado nutricional'!K$14/(1-0.8*'Distribución estado nutricional'!K$14))
/ ('Distribución estado nutricional'!K$14/(1-'Distribución estado nutricional'!K$14)))</f>
        <v>0.70963995354239262</v>
      </c>
      <c r="L21" s="90">
        <f>IF(ISBLANK('Distribución estado nutricional'!L$14),0.8,(0.8*'Distribución estado nutricional'!L$14/(1-0.8*'Distribución estado nutricional'!L$14))
/ ('Distribución estado nutricional'!L$14/(1-'Distribución estado nutricional'!L$14)))</f>
        <v>0.72677595628415304</v>
      </c>
      <c r="M21" s="90">
        <f>IF(ISBLANK('Distribución estado nutricional'!M$14),0.8,(0.8*'Distribución estado nutricional'!M$14/(1-0.8*'Distribución estado nutricional'!M$14))
/ ('Distribución estado nutricional'!M$14/(1-'Distribución estado nutricional'!M$14)))</f>
        <v>0.72677595628415304</v>
      </c>
      <c r="N21" s="90">
        <f>IF(ISBLANK('Distribución estado nutricional'!N$14),0.8,(0.8*'Distribución estado nutricional'!N$14/(1-0.8*'Distribución estado nutricional'!N$14))
/ ('Distribución estado nutricional'!N$14/(1-'Distribución estado nutricional'!N$14)))</f>
        <v>0.72677595628415304</v>
      </c>
      <c r="O21" s="90">
        <f>IF(ISBLANK('Distribución estado nutricional'!O$14),0.8,(0.8*'Distribución estado nutricional'!O$14/(1-0.8*'Distribución estado nutricional'!O$14))
/ ('Distribución estado nutricional'!O$14/(1-'Distribución estado nutricional'!O$14)))</f>
        <v>0.72677595628415304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ht="13" customHeight="1" x14ac:dyDescent="0.3">
      <c r="A25" s="4" t="s">
        <v>327</v>
      </c>
    </row>
    <row r="26" spans="1:15" x14ac:dyDescent="0.25">
      <c r="B26" s="11" t="s">
        <v>169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174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175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176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177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178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179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180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190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191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204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324</v>
      </c>
      <c r="B40" s="11"/>
    </row>
    <row r="41" spans="1:15" x14ac:dyDescent="0.25">
      <c r="B41" s="5" t="s">
        <v>171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172</v>
      </c>
      <c r="C42" s="90">
        <f t="shared" ref="C42:D44" si="14">IF(C19=1,1,C19*0.9)</f>
        <v>1</v>
      </c>
      <c r="D42" s="90">
        <f t="shared" si="14"/>
        <v>1</v>
      </c>
      <c r="E42" s="90">
        <f>IF(ISBLANK('Distribución estado nutricional'!E$14),0.54,(0.54*'Distribución estado nutricional'!E$14/(1-0.54*'Distribución estado nutricional'!E$14))
/ ('Distribución estado nutricional'!E$14/(1-'Distribución estado nutricional'!E$14)))</f>
        <v>0.25679081750843147</v>
      </c>
      <c r="F42" s="90">
        <f>IF(ISBLANK('Distribución estado nutricional'!F$14),0.54,(0.54*'Distribución estado nutricional'!F$14/(1-0.54*'Distribución estado nutricional'!F$14))
/ ('Distribución estado nutricional'!F$14/(1-'Distribución estado nutricional'!F$14)))</f>
        <v>0.29134122381918504</v>
      </c>
      <c r="G42" s="90">
        <f>IF(ISBLANK('Distribución estado nutricional'!G$14),0.54,(0.54*'Distribución estado nutricional'!G$14/(1-0.54*'Distribución estado nutricional'!G$14))
/ ('Distribución estado nutricional'!G$14/(1-'Distribución estado nutricional'!G$14)))</f>
        <v>0.29134122381918504</v>
      </c>
      <c r="H42" s="90">
        <f>IF(ISBLANK('Distribución estado nutricional'!H$14),0.54,(0.54*'Distribución estado nutricional'!H$14/(1-0.54*'Distribución estado nutricional'!H$14))
/ ('Distribución estado nutricional'!H$14/(1-'Distribución estado nutricional'!H$14)))</f>
        <v>0.41767729194622383</v>
      </c>
      <c r="I42" s="90">
        <f>IF(ISBLANK('Distribución estado nutricional'!I$14),0.54,(0.54*'Distribución estado nutricional'!I$14/(1-0.54*'Distribución estado nutricional'!I$14))
/ ('Distribución estado nutricional'!I$14/(1-'Distribución estado nutricional'!I$14)))</f>
        <v>0.41767729194622383</v>
      </c>
      <c r="J42" s="90">
        <f>IF(ISBLANK('Distribución estado nutricional'!J$14),0.54,(0.54*'Distribución estado nutricional'!J$14/(1-0.54*'Distribución estado nutricional'!J$14))
/ ('Distribución estado nutricional'!J$14/(1-'Distribución estado nutricional'!J$14)))</f>
        <v>0.41767729194622383</v>
      </c>
      <c r="K42" s="90">
        <f>IF(ISBLANK('Distribución estado nutricional'!K$14),0.54,(0.54*'Distribución estado nutricional'!K$14/(1-0.54*'Distribución estado nutricional'!K$14))
/ ('Distribución estado nutricional'!K$14/(1-'Distribución estado nutricional'!K$14)))</f>
        <v>0.41767729194622383</v>
      </c>
      <c r="L42" s="90">
        <f>IF(ISBLANK('Distribución estado nutricional'!L$14),0.54,(0.54*'Distribución estado nutricional'!L$14/(1-0.54*'Distribución estado nutricional'!L$14))
/ ('Distribución estado nutricional'!L$14/(1-'Distribución estado nutricional'!L$14)))</f>
        <v>0.43840800879013564</v>
      </c>
      <c r="M42" s="90">
        <f>IF(ISBLANK('Distribución estado nutricional'!M$14),0.54,(0.54*'Distribución estado nutricional'!M$14/(1-0.54*'Distribución estado nutricional'!M$14))
/ ('Distribución estado nutricional'!M$14/(1-'Distribución estado nutricional'!M$14)))</f>
        <v>0.43840800879013564</v>
      </c>
      <c r="N42" s="90">
        <f>IF(ISBLANK('Distribución estado nutricional'!N$14),0.54,(0.54*'Distribución estado nutricional'!N$14/(1-0.54*'Distribución estado nutricional'!N$14))
/ ('Distribución estado nutricional'!N$14/(1-'Distribución estado nutricional'!N$14)))</f>
        <v>0.43840800879013564</v>
      </c>
      <c r="O42" s="90">
        <f>IF(ISBLANK('Distribución estado nutricional'!O$14),0.54,(0.54*'Distribución estado nutricional'!O$14/(1-0.54*'Distribución estado nutricional'!O$14))
/ ('Distribución estado nutricional'!O$14/(1-'Distribución estado nutricional'!O$14)))</f>
        <v>0.43840800879013564</v>
      </c>
    </row>
    <row r="43" spans="1:15" x14ac:dyDescent="0.25">
      <c r="B43" s="5" t="s">
        <v>173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181</v>
      </c>
      <c r="C44" s="90">
        <f t="shared" si="14"/>
        <v>1</v>
      </c>
      <c r="D44" s="90">
        <f t="shared" si="14"/>
        <v>1</v>
      </c>
      <c r="E44" s="90">
        <f>IF(ISBLANK('Distribución estado nutricional'!E$14),0.7,(0.7*'Distribución estado nutricional'!E$14/(1-0.7*'Distribución estado nutricional'!E$14))
/ ('Distribución estado nutricional'!E$14/(1-'Distribución estado nutricional'!E$14)))</f>
        <v>0.40714981398050276</v>
      </c>
      <c r="F44" s="90">
        <f>IF(ISBLANK('Distribución estado nutricional'!F$14),0.7,(0.7*'Distribución estado nutricional'!F$14/(1-0.7*'Distribución estado nutricional'!F$14))
/ ('Distribución estado nutricional'!F$14/(1-'Distribución estado nutricional'!F$14)))</f>
        <v>0.44968988725380282</v>
      </c>
      <c r="G44" s="90">
        <f>IF(ISBLANK('Distribución estado nutricional'!G$14),0.7,(0.7*'Distribución estado nutricional'!G$14/(1-0.7*'Distribución estado nutricional'!G$14))
/ ('Distribución estado nutricional'!G$14/(1-'Distribución estado nutricional'!G$14)))</f>
        <v>0.44968988725380282</v>
      </c>
      <c r="H44" s="90">
        <f>IF(ISBLANK('Distribución estado nutricional'!H$14),0.7,(0.7*'Distribución estado nutricional'!H$14/(1-0.7*'Distribución estado nutricional'!H$14))
/ ('Distribución estado nutricional'!H$14/(1-'Distribución estado nutricional'!H$14)))</f>
        <v>0.58774220145664413</v>
      </c>
      <c r="I44" s="90">
        <f>IF(ISBLANK('Distribución estado nutricional'!I$14),0.7,(0.7*'Distribución estado nutricional'!I$14/(1-0.7*'Distribución estado nutricional'!I$14))
/ ('Distribución estado nutricional'!I$14/(1-'Distribución estado nutricional'!I$14)))</f>
        <v>0.58774220145664413</v>
      </c>
      <c r="J44" s="90">
        <f>IF(ISBLANK('Distribución estado nutricional'!J$14),0.7,(0.7*'Distribución estado nutricional'!J$14/(1-0.7*'Distribución estado nutricional'!J$14))
/ ('Distribución estado nutricional'!J$14/(1-'Distribución estado nutricional'!J$14)))</f>
        <v>0.58774220145664413</v>
      </c>
      <c r="K44" s="90">
        <f>IF(ISBLANK('Distribución estado nutricional'!K$14),0.7,(0.7*'Distribución estado nutricional'!K$14/(1-0.7*'Distribución estado nutricional'!K$14))
/ ('Distribución estado nutricional'!K$14/(1-'Distribución estado nutricional'!K$14)))</f>
        <v>0.58774220145664413</v>
      </c>
      <c r="L44" s="90">
        <f>IF(ISBLANK('Distribución estado nutricional'!L$14),0.7,(0.7*'Distribución estado nutricional'!L$14/(1-0.7*'Distribución estado nutricional'!L$14))
/ ('Distribución estado nutricional'!L$14/(1-'Distribución estado nutricional'!L$14)))</f>
        <v>0.60809928151534931</v>
      </c>
      <c r="M44" s="90">
        <f>IF(ISBLANK('Distribución estado nutricional'!M$14),0.7,(0.7*'Distribución estado nutricional'!M$14/(1-0.7*'Distribución estado nutricional'!M$14))
/ ('Distribución estado nutricional'!M$14/(1-'Distribución estado nutricional'!M$14)))</f>
        <v>0.60809928151534931</v>
      </c>
      <c r="N44" s="90">
        <f>IF(ISBLANK('Distribución estado nutricional'!N$14),0.7,(0.7*'Distribución estado nutricional'!N$14/(1-0.7*'Distribución estado nutricional'!N$14))
/ ('Distribución estado nutricional'!N$14/(1-'Distribución estado nutricional'!N$14)))</f>
        <v>0.60809928151534931</v>
      </c>
      <c r="O44" s="90">
        <f>IF(ISBLANK('Distribución estado nutricional'!O$14),0.7,(0.7*'Distribución estado nutricional'!O$14/(1-0.7*'Distribución estado nutricional'!O$14))
/ ('Distribución estado nutricional'!O$14/(1-'Distribución estado nutricional'!O$14)))</f>
        <v>0.60809928151534931</v>
      </c>
    </row>
    <row r="46" spans="1:15" s="92" customFormat="1" ht="13" customHeight="1" x14ac:dyDescent="0.3">
      <c r="A46" s="92" t="s">
        <v>245</v>
      </c>
    </row>
    <row r="47" spans="1:15" ht="26" customHeight="1" x14ac:dyDescent="0.3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ht="13" customHeight="1" x14ac:dyDescent="0.3">
      <c r="A48" s="4" t="s">
        <v>328</v>
      </c>
    </row>
    <row r="49" spans="1:15" x14ac:dyDescent="0.25">
      <c r="B49" s="11" t="s">
        <v>169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174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175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176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177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178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179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180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190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191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204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325</v>
      </c>
      <c r="B63" s="11"/>
    </row>
    <row r="64" spans="1:15" x14ac:dyDescent="0.25">
      <c r="B64" s="5" t="s">
        <v>171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172</v>
      </c>
      <c r="C65" s="90">
        <f t="shared" ref="C65:D67" si="30">IF(C19=1,1,C19*1.05)</f>
        <v>1</v>
      </c>
      <c r="D65" s="90">
        <f t="shared" si="30"/>
        <v>1</v>
      </c>
      <c r="E65" s="90">
        <f>IF(ISBLANK('Distribución estado nutricional'!E$14),0.97,(0.97*'Distribución estado nutricional'!E$14/(1-0.97*'Distribución estado nutricional'!E$14))
/ ('Distribución estado nutricional'!E$14/(1-'Distribución estado nutricional'!E$14)))</f>
        <v>0.90491246361843825</v>
      </c>
      <c r="F65" s="90">
        <f>IF(ISBLANK('Distribución estado nutricional'!F$14),0.97,(0.97*'Distribución estado nutricional'!F$14/(1-0.97*'Distribución estado nutricional'!F$14))
/ ('Distribución estado nutricional'!F$14/(1-'Distribución estado nutricional'!F$14)))</f>
        <v>0.91885398765538573</v>
      </c>
      <c r="G65" s="90">
        <f>IF(ISBLANK('Distribución estado nutricional'!G$14),0.97,(0.97*'Distribución estado nutricional'!G$14/(1-0.97*'Distribución estado nutricional'!G$14))
/ ('Distribución estado nutricional'!G$14/(1-'Distribución estado nutricional'!G$14)))</f>
        <v>0.91885398765538573</v>
      </c>
      <c r="H65" s="90">
        <f>IF(ISBLANK('Distribución estado nutricional'!H$14),0.97,(0.97*'Distribución estado nutricional'!H$14/(1-0.97*'Distribución estado nutricional'!H$14))
/ ('Distribución estado nutricional'!H$14/(1-'Distribución estado nutricional'!H$14)))</f>
        <v>0.95182038640050093</v>
      </c>
      <c r="I65" s="90">
        <f>IF(ISBLANK('Distribución estado nutricional'!I$14),0.97,(0.97*'Distribución estado nutricional'!I$14/(1-0.97*'Distribución estado nutricional'!I$14))
/ ('Distribución estado nutricional'!I$14/(1-'Distribución estado nutricional'!I$14)))</f>
        <v>0.95182038640050093</v>
      </c>
      <c r="J65" s="90">
        <f>IF(ISBLANK('Distribución estado nutricional'!J$14),0.97,(0.97*'Distribución estado nutricional'!J$14/(1-0.97*'Distribución estado nutricional'!J$14))
/ ('Distribución estado nutricional'!J$14/(1-'Distribución estado nutricional'!J$14)))</f>
        <v>0.95182038640050093</v>
      </c>
      <c r="K65" s="90">
        <f>IF(ISBLANK('Distribución estado nutricional'!K$14),0.97,(0.97*'Distribución estado nutricional'!K$14/(1-0.97*'Distribución estado nutricional'!K$14))
/ ('Distribución estado nutricional'!K$14/(1-'Distribución estado nutricional'!K$14)))</f>
        <v>0.95182038640050093</v>
      </c>
      <c r="L65" s="90">
        <f>IF(ISBLANK('Distribución estado nutricional'!L$14),0.97,(0.97*'Distribución estado nutricional'!L$14/(1-0.97*'Distribución estado nutricional'!L$14))
/ ('Distribución estado nutricional'!L$14/(1-'Distribución estado nutricional'!L$14)))</f>
        <v>0.95555884749277842</v>
      </c>
      <c r="M65" s="90">
        <f>IF(ISBLANK('Distribución estado nutricional'!M$14),0.97,(0.97*'Distribución estado nutricional'!M$14/(1-0.97*'Distribución estado nutricional'!M$14))
/ ('Distribución estado nutricional'!M$14/(1-'Distribución estado nutricional'!M$14)))</f>
        <v>0.95555884749277842</v>
      </c>
      <c r="N65" s="90">
        <f>IF(ISBLANK('Distribución estado nutricional'!N$14),0.97,(0.97*'Distribución estado nutricional'!N$14/(1-0.97*'Distribución estado nutricional'!N$14))
/ ('Distribución estado nutricional'!N$14/(1-'Distribución estado nutricional'!N$14)))</f>
        <v>0.95555884749277842</v>
      </c>
      <c r="O65" s="90">
        <f>IF(ISBLANK('Distribución estado nutricional'!O$14),0.97,(0.97*'Distribución estado nutricional'!O$14/(1-0.97*'Distribución estado nutricional'!O$14))
/ ('Distribución estado nutricional'!O$14/(1-'Distribución estado nutricional'!O$14)))</f>
        <v>0.95555884749277842</v>
      </c>
    </row>
    <row r="66" spans="2:15" x14ac:dyDescent="0.25">
      <c r="B66" s="5" t="s">
        <v>173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181</v>
      </c>
      <c r="C67" s="90">
        <f t="shared" si="30"/>
        <v>1</v>
      </c>
      <c r="D67" s="90">
        <f t="shared" si="30"/>
        <v>1</v>
      </c>
      <c r="E67" s="90">
        <f>IF(ISBLANK('Distribución estado nutricional'!E$14),0.92,(0.92*'Distribución estado nutricional'!E$14/(1-0.92*'Distribución estado nutricional'!E$14))
/ ('Distribución estado nutricional'!E$14/(1-'Distribución estado nutricional'!E$14)))</f>
        <v>0.7719383419291137</v>
      </c>
      <c r="F67" s="90">
        <f>IF(ISBLANK('Distribución estado nutricional'!F$14),0.92,(0.92*'Distribución estado nutricional'!F$14/(1-0.92*'Distribución estado nutricional'!F$14))
/ ('Distribución estado nutricional'!F$14/(1-'Distribución estado nutricional'!F$14)))</f>
        <v>0.80109072993688135</v>
      </c>
      <c r="G67" s="90">
        <f>IF(ISBLANK('Distribución estado nutricional'!G$14),0.92,(0.92*'Distribución estado nutricional'!G$14/(1-0.92*'Distribución estado nutricional'!G$14))
/ ('Distribución estado nutricional'!G$14/(1-'Distribución estado nutricional'!G$14)))</f>
        <v>0.80109072993688135</v>
      </c>
      <c r="H67" s="90">
        <f>IF(ISBLANK('Distribución estado nutricional'!H$14),0.92,(0.92*'Distribución estado nutricional'!H$14/(1-0.92*'Distribución estado nutricional'!H$14))
/ ('Distribución estado nutricional'!H$14/(1-'Distribución estado nutricional'!H$14)))</f>
        <v>0.87541269544633404</v>
      </c>
      <c r="I67" s="90">
        <f>IF(ISBLANK('Distribución estado nutricional'!I$14),0.92,(0.92*'Distribución estado nutricional'!I$14/(1-0.92*'Distribución estado nutricional'!I$14))
/ ('Distribución estado nutricional'!I$14/(1-'Distribución estado nutricional'!I$14)))</f>
        <v>0.87541269544633404</v>
      </c>
      <c r="J67" s="90">
        <f>IF(ISBLANK('Distribución estado nutricional'!J$14),0.92,(0.92*'Distribución estado nutricional'!J$14/(1-0.92*'Distribución estado nutricional'!J$14))
/ ('Distribución estado nutricional'!J$14/(1-'Distribución estado nutricional'!J$14)))</f>
        <v>0.87541269544633404</v>
      </c>
      <c r="K67" s="90">
        <f>IF(ISBLANK('Distribución estado nutricional'!K$14),0.92,(0.92*'Distribución estado nutricional'!K$14/(1-0.92*'Distribución estado nutricional'!K$14))
/ ('Distribución estado nutricional'!K$14/(1-'Distribución estado nutricional'!K$14)))</f>
        <v>0.87541269544633404</v>
      </c>
      <c r="L67" s="90">
        <f>IF(ISBLANK('Distribución estado nutricional'!L$14),0.92,(0.92*'Distribución estado nutricional'!L$14/(1-0.92*'Distribución estado nutricional'!L$14))
/ ('Distribución estado nutricional'!L$14/(1-'Distribución estado nutricional'!L$14)))</f>
        <v>0.88435964151488877</v>
      </c>
      <c r="M67" s="90">
        <f>IF(ISBLANK('Distribución estado nutricional'!M$14),0.92,(0.92*'Distribución estado nutricional'!M$14/(1-0.92*'Distribución estado nutricional'!M$14))
/ ('Distribución estado nutricional'!M$14/(1-'Distribución estado nutricional'!M$14)))</f>
        <v>0.88435964151488877</v>
      </c>
      <c r="N67" s="90">
        <f>IF(ISBLANK('Distribución estado nutricional'!N$14),0.92,(0.92*'Distribución estado nutricional'!N$14/(1-0.92*'Distribución estado nutricional'!N$14))
/ ('Distribución estado nutricional'!N$14/(1-'Distribución estado nutricional'!N$14)))</f>
        <v>0.88435964151488877</v>
      </c>
      <c r="O67" s="90">
        <f>IF(ISBLANK('Distribución estado nutricional'!O$14),0.92,(0.92*'Distribución estado nutricional'!O$14/(1-0.92*'Distribución estado nutricional'!O$14))
/ ('Distribución estado nutricional'!O$14/(1-'Distribución estado nutricional'!O$14)))</f>
        <v>0.88435964151488877</v>
      </c>
    </row>
  </sheetData>
  <sheetProtection algorithmName="SHA-512" hashValue="ohtnH21axJBy3K48eWV7+x/+f+D8uWRNRxnemQcFAJAVldakpdQ3hRXfsiELWOKSDOu4ZPfe9ncZTT3dsfvLKg==" saltValue="++8pLqubNo7ZDvodrvhD5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ht="13" customHeight="1" x14ac:dyDescent="0.3">
      <c r="A2" s="4" t="s">
        <v>333</v>
      </c>
    </row>
    <row r="3" spans="1:7" x14ac:dyDescent="0.25">
      <c r="B3" s="11" t="s">
        <v>164</v>
      </c>
      <c r="C3" s="90">
        <v>1</v>
      </c>
      <c r="D3" s="90">
        <f>IF(ISBLANK('Distribución estado nutricional'!D$11),0.86,(0.86*'Distribución estado nutricional'!D$11/(1-0.86*'Distribución estado nutricional'!D$11))
/ ('Distribución estado nutricional'!D$11/(1-'Distribución estado nutricional'!D$11)))</f>
        <v>0.84867493037857056</v>
      </c>
      <c r="E3" s="90">
        <f>IF(ISBLANK('Distribución estado nutricional'!E$11),0.86,(0.86*'Distribución estado nutricional'!E$11/(1-0.86*'Distribución estado nutricional'!E$11))
/ ('Distribución estado nutricional'!E$11/(1-'Distribución estado nutricional'!E$11)))</f>
        <v>0.84462433671919412</v>
      </c>
      <c r="F3" s="90">
        <f>IF(ISBLANK('Distribución estado nutricional'!F$11),0.86,(0.86*'Distribución estado nutricional'!F$11/(1-0.86*'Distribución estado nutricional'!F$11))
/ ('Distribución estado nutricional'!F$11/(1-'Distribución estado nutricional'!F$11)))</f>
        <v>0.84722602395719138</v>
      </c>
      <c r="G3" s="90">
        <f>IF(ISBLANK('Distribución estado nutricional'!G$11),0.86,(0.86*'Distribución estado nutricional'!G$11/(1-0.86*'Distribución estado nutricional'!G$11))
/ ('Distribución estado nutricional'!G$11/(1-'Distribución estado nutricional'!G$11)))</f>
        <v>0.84765776882978694</v>
      </c>
    </row>
    <row r="4" spans="1:7" ht="13" customHeight="1" x14ac:dyDescent="0.3">
      <c r="A4" s="4" t="s">
        <v>330</v>
      </c>
      <c r="B4" s="11"/>
      <c r="C4" s="83"/>
      <c r="D4" s="83"/>
      <c r="E4" s="83"/>
      <c r="F4" s="83"/>
      <c r="G4" s="83"/>
    </row>
    <row r="5" spans="1:7" x14ac:dyDescent="0.25">
      <c r="B5" s="5" t="s">
        <v>162</v>
      </c>
      <c r="C5" s="90">
        <v>1</v>
      </c>
      <c r="D5" s="90">
        <f>IF(ISBLANK('Distribución estado nutricional'!D$10),0.86,(0.86*'Distribución estado nutricional'!D$10/(1-0.86*'Distribución estado nutricional'!D$10))
/ ('Distribución estado nutricional'!D$10/(1-'Distribución estado nutricional'!D$10)))</f>
        <v>0.8450777592736366</v>
      </c>
      <c r="E5" s="90">
        <f>IF(ISBLANK('Distribución estado nutricional'!E$10),0.86,(0.86*'Distribución estado nutricional'!E$10/(1-0.86*'Distribución estado nutricional'!E$10))
/ ('Distribución estado nutricional'!E$10/(1-'Distribución estado nutricional'!E$10)))</f>
        <v>0.83830974897670107</v>
      </c>
      <c r="F5" s="90">
        <f>IF(ISBLANK('Distribución estado nutricional'!F$10),0.86,(0.86*'Distribución estado nutricional'!F$10/(1-0.86*'Distribución estado nutricional'!F$10))
/ ('Distribución estado nutricional'!F$10/(1-'Distribución estado nutricional'!F$10)))</f>
        <v>0.84267446973424398</v>
      </c>
      <c r="G5" s="90">
        <f>IF(ISBLANK('Distribución estado nutricional'!G$10),0.86,(0.86*'Distribución estado nutricional'!G$10/(1-0.86*'Distribución estado nutricional'!G$10))
/ ('Distribución estado nutricional'!G$10/(1-'Distribución estado nutricional'!G$10)))</f>
        <v>0.84333969537274467</v>
      </c>
    </row>
    <row r="7" spans="1:7" s="92" customFormat="1" ht="13" customHeight="1" x14ac:dyDescent="0.3">
      <c r="A7" s="92" t="s">
        <v>329</v>
      </c>
    </row>
    <row r="8" spans="1:7" ht="13" customHeight="1" x14ac:dyDescent="0.3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ht="13" customHeight="1" x14ac:dyDescent="0.3">
      <c r="A9" s="4" t="s">
        <v>334</v>
      </c>
    </row>
    <row r="10" spans="1:7" x14ac:dyDescent="0.25">
      <c r="B10" s="11" t="s">
        <v>164</v>
      </c>
      <c r="C10" s="90">
        <f>C3*0.9</f>
        <v>0.9</v>
      </c>
      <c r="D10" s="90">
        <f>D3*0.9</f>
        <v>0.76380743734071355</v>
      </c>
      <c r="E10" s="90">
        <f>E3*0.9</f>
        <v>0.76016190304727471</v>
      </c>
      <c r="F10" s="90">
        <f>F3*0.9</f>
        <v>0.76250342156147222</v>
      </c>
      <c r="G10" s="90">
        <f>G3*0.9</f>
        <v>0.76289199194680823</v>
      </c>
    </row>
    <row r="11" spans="1:7" ht="13" customHeight="1" x14ac:dyDescent="0.3">
      <c r="A11" s="4" t="s">
        <v>331</v>
      </c>
      <c r="B11" s="11"/>
      <c r="C11" s="83"/>
      <c r="D11" s="83"/>
      <c r="E11" s="83"/>
      <c r="F11" s="83"/>
      <c r="G11" s="83"/>
    </row>
    <row r="12" spans="1:7" x14ac:dyDescent="0.25">
      <c r="B12" s="5" t="s">
        <v>162</v>
      </c>
      <c r="C12" s="90">
        <f>C5*0.9</f>
        <v>0.9</v>
      </c>
      <c r="D12" s="90">
        <f>D5*0.9</f>
        <v>0.7605699833462729</v>
      </c>
      <c r="E12" s="90">
        <f>E5*0.9</f>
        <v>0.75447877407903097</v>
      </c>
      <c r="F12" s="90">
        <f>F5*0.9</f>
        <v>0.75840702276081962</v>
      </c>
      <c r="G12" s="90">
        <f>G5*0.9</f>
        <v>0.75900572583547021</v>
      </c>
    </row>
    <row r="14" spans="1:7" s="92" customFormat="1" ht="13" customHeight="1" x14ac:dyDescent="0.3">
      <c r="A14" s="92" t="s">
        <v>336</v>
      </c>
    </row>
    <row r="15" spans="1:7" ht="13" customHeight="1" x14ac:dyDescent="0.3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ht="13" customHeight="1" x14ac:dyDescent="0.3">
      <c r="A16" s="4" t="s">
        <v>335</v>
      </c>
    </row>
    <row r="17" spans="1:7" x14ac:dyDescent="0.25">
      <c r="B17" s="11" t="s">
        <v>164</v>
      </c>
      <c r="C17" s="90">
        <f>C3*1.05</f>
        <v>1.05</v>
      </c>
      <c r="D17" s="90">
        <f>D3*1.05</f>
        <v>0.89110867689749917</v>
      </c>
      <c r="E17" s="90">
        <f>E3*1.05</f>
        <v>0.88685555355515389</v>
      </c>
      <c r="F17" s="90">
        <f>F3*1.05</f>
        <v>0.88958732515505101</v>
      </c>
      <c r="G17" s="90">
        <f>G3*1.05</f>
        <v>0.89004065727127635</v>
      </c>
    </row>
    <row r="18" spans="1:7" ht="13" customHeight="1" x14ac:dyDescent="0.3">
      <c r="A18" s="4" t="s">
        <v>332</v>
      </c>
      <c r="B18" s="11"/>
      <c r="C18" s="83"/>
      <c r="D18" s="83"/>
      <c r="E18" s="83"/>
      <c r="F18" s="83"/>
      <c r="G18" s="83"/>
    </row>
    <row r="19" spans="1:7" x14ac:dyDescent="0.25">
      <c r="B19" s="5" t="s">
        <v>162</v>
      </c>
      <c r="C19" s="90">
        <f>C5*1.05</f>
        <v>1.05</v>
      </c>
      <c r="D19" s="90">
        <f>D5*1.05</f>
        <v>0.8873316472373185</v>
      </c>
      <c r="E19" s="90">
        <f>E5*1.05</f>
        <v>0.88022523642553618</v>
      </c>
      <c r="F19" s="90">
        <f>F5*1.05</f>
        <v>0.88480819322095616</v>
      </c>
      <c r="G19" s="90">
        <f>G5*1.05</f>
        <v>0.8855066801413819</v>
      </c>
    </row>
  </sheetData>
  <sheetProtection algorithmName="SHA-512" hashValue="SOeYVekwcpyDSK6uKxS3lWPDRAQ0jtOKFrR9FWiyFMMqWJ7pY6tsFMtQoSu6Ut+B25kXzmpHpqVuy5/tZ8zvdg==" saltValue="3tL8gbV4IKtwtBQgMoaE6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5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338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338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6</v>
      </c>
      <c r="C7" s="5" t="s">
        <v>337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338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338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6</v>
      </c>
      <c r="C11" s="5" t="s">
        <v>337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338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338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6</v>
      </c>
      <c r="C15" s="5" t="s">
        <v>337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338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338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6</v>
      </c>
      <c r="C19" s="5" t="s">
        <v>337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338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173</v>
      </c>
      <c r="B21" s="5" t="s">
        <v>92</v>
      </c>
      <c r="C21" s="5" t="s">
        <v>337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171</v>
      </c>
      <c r="B23" s="5" t="s">
        <v>92</v>
      </c>
      <c r="C23" s="5" t="s">
        <v>337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172</v>
      </c>
      <c r="B25" s="5" t="s">
        <v>92</v>
      </c>
      <c r="C25" s="5" t="s">
        <v>337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203</v>
      </c>
      <c r="B42" s="5" t="s">
        <v>84</v>
      </c>
      <c r="C42" s="5" t="s">
        <v>337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338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202</v>
      </c>
      <c r="B50" s="5" t="s">
        <v>84</v>
      </c>
      <c r="C50" s="5" t="s">
        <v>337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329</v>
      </c>
      <c r="B55" s="97"/>
      <c r="C55" s="97"/>
    </row>
    <row r="56" spans="1:8" ht="13" customHeight="1" x14ac:dyDescent="0.3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5">
      <c r="A57" s="5" t="s">
        <v>196</v>
      </c>
      <c r="B57" s="5" t="s">
        <v>84</v>
      </c>
      <c r="C57" s="5" t="s">
        <v>337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338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338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204</v>
      </c>
      <c r="B68" s="5" t="s">
        <v>207</v>
      </c>
      <c r="C68" s="5" t="s">
        <v>337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338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6</v>
      </c>
      <c r="C70" s="5" t="s">
        <v>337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338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167</v>
      </c>
      <c r="B72" s="5" t="s">
        <v>207</v>
      </c>
      <c r="C72" s="5" t="s">
        <v>337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338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6</v>
      </c>
      <c r="C74" s="5" t="s">
        <v>337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338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173</v>
      </c>
      <c r="B76" s="5" t="s">
        <v>92</v>
      </c>
      <c r="C76" s="5" t="s">
        <v>337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171</v>
      </c>
      <c r="B78" s="5" t="s">
        <v>92</v>
      </c>
      <c r="C78" s="5" t="s">
        <v>337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172</v>
      </c>
      <c r="B80" s="5" t="s">
        <v>92</v>
      </c>
      <c r="C80" s="5" t="s">
        <v>337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200</v>
      </c>
      <c r="B82" s="5" t="s">
        <v>84</v>
      </c>
      <c r="C82" s="5" t="s">
        <v>337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338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201</v>
      </c>
      <c r="B85" s="5" t="s">
        <v>84</v>
      </c>
      <c r="C85" s="5" t="s">
        <v>337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338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199</v>
      </c>
      <c r="B88" s="5" t="s">
        <v>84</v>
      </c>
      <c r="C88" s="5" t="s">
        <v>337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338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198</v>
      </c>
      <c r="B91" s="5" t="s">
        <v>84</v>
      </c>
      <c r="C91" s="5" t="s">
        <v>337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338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197</v>
      </c>
      <c r="B94" s="5" t="s">
        <v>84</v>
      </c>
      <c r="C94" s="5" t="s">
        <v>337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338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203</v>
      </c>
      <c r="B97" s="5" t="s">
        <v>84</v>
      </c>
      <c r="C97" s="5" t="s">
        <v>337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338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102</v>
      </c>
      <c r="C100" s="5" t="s">
        <v>337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338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192</v>
      </c>
      <c r="B103" s="5" t="s">
        <v>84</v>
      </c>
      <c r="C103" s="5" t="s">
        <v>337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202</v>
      </c>
      <c r="B105" s="5" t="s">
        <v>84</v>
      </c>
      <c r="C105" s="5" t="s">
        <v>337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182</v>
      </c>
      <c r="B107" s="5" t="s">
        <v>96</v>
      </c>
      <c r="C107" s="5" t="s">
        <v>337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336</v>
      </c>
      <c r="B110" s="97"/>
      <c r="C110" s="97"/>
    </row>
    <row r="111" spans="1:8" ht="13" customHeight="1" x14ac:dyDescent="0.3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5">
      <c r="A112" s="5" t="s">
        <v>196</v>
      </c>
      <c r="B112" s="5" t="s">
        <v>84</v>
      </c>
      <c r="C112" s="5" t="s">
        <v>337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338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193</v>
      </c>
      <c r="B115" s="5" t="s">
        <v>207</v>
      </c>
      <c r="C115" s="5" t="s">
        <v>337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338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6</v>
      </c>
      <c r="C117" s="5" t="s">
        <v>337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338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207</v>
      </c>
      <c r="C119" s="5" t="s">
        <v>337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338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6</v>
      </c>
      <c r="C121" s="5" t="s">
        <v>337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338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338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338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173</v>
      </c>
      <c r="B131" s="5" t="s">
        <v>92</v>
      </c>
      <c r="C131" s="5" t="s">
        <v>337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171</v>
      </c>
      <c r="B133" s="5" t="s">
        <v>92</v>
      </c>
      <c r="C133" s="5" t="s">
        <v>337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172</v>
      </c>
      <c r="B135" s="5" t="s">
        <v>92</v>
      </c>
      <c r="C135" s="5" t="s">
        <v>337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200</v>
      </c>
      <c r="B137" s="5" t="s">
        <v>84</v>
      </c>
      <c r="C137" s="5" t="s">
        <v>337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338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201</v>
      </c>
      <c r="B140" s="5" t="s">
        <v>84</v>
      </c>
      <c r="C140" s="5" t="s">
        <v>337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338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199</v>
      </c>
      <c r="B143" s="5" t="s">
        <v>84</v>
      </c>
      <c r="C143" s="5" t="s">
        <v>337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338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198</v>
      </c>
      <c r="B146" s="5" t="s">
        <v>84</v>
      </c>
      <c r="C146" s="5" t="s">
        <v>337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338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197</v>
      </c>
      <c r="B149" s="5" t="s">
        <v>84</v>
      </c>
      <c r="C149" s="5" t="s">
        <v>337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338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203</v>
      </c>
      <c r="B152" s="5" t="s">
        <v>84</v>
      </c>
      <c r="C152" s="5" t="s">
        <v>337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338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102</v>
      </c>
      <c r="C155" s="5" t="s">
        <v>337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338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192</v>
      </c>
      <c r="B158" s="5" t="s">
        <v>84</v>
      </c>
      <c r="C158" s="5" t="s">
        <v>337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202</v>
      </c>
      <c r="B160" s="5" t="s">
        <v>84</v>
      </c>
      <c r="C160" s="5" t="s">
        <v>337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182</v>
      </c>
      <c r="B162" s="5" t="s">
        <v>96</v>
      </c>
      <c r="C162" s="5" t="s">
        <v>337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D6WTtvskxWsZc4gMm2gpJ656YZ6QWQmpDj6x8N/hf7C1HYt6+TgtmRYXtsRQJpSc3OXqsyUxiahVQjc01y+YIA==" saltValue="YmI0KYvQjWhy3P3kxhcXN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5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329</v>
      </c>
    </row>
    <row r="10" spans="1:8" ht="13" customHeight="1" x14ac:dyDescent="0.3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5">
      <c r="A11" s="3" t="s">
        <v>166</v>
      </c>
      <c r="B11" s="8" t="s">
        <v>86</v>
      </c>
      <c r="C11" s="3" t="s">
        <v>337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189</v>
      </c>
      <c r="B13" s="8" t="s">
        <v>86</v>
      </c>
      <c r="C13" s="3" t="s">
        <v>337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188</v>
      </c>
      <c r="B15" s="8" t="s">
        <v>86</v>
      </c>
      <c r="C15" s="3" t="s">
        <v>337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336</v>
      </c>
    </row>
    <row r="19" spans="1:7" ht="13" customHeight="1" x14ac:dyDescent="0.3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5">
      <c r="A20" s="3" t="s">
        <v>166</v>
      </c>
      <c r="B20" s="8" t="s">
        <v>86</v>
      </c>
      <c r="C20" s="3" t="s">
        <v>337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189</v>
      </c>
      <c r="B22" s="8" t="s">
        <v>86</v>
      </c>
      <c r="C22" s="3" t="s">
        <v>337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188</v>
      </c>
      <c r="B24" s="8" t="s">
        <v>86</v>
      </c>
      <c r="C24" s="3" t="s">
        <v>337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T5vCjcTkhjQPe92ul6hxLnX/D6EOKzHVhgTIawI0Kya8jVaDB1ksYmPXLFrnC2n8G4YAEa3bG95XXPJv1cotEA==" saltValue="/d+UhTtAXQUHVwb1Aj3MkA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2024-03-15T02:34:12Z</dcterms:modified>
</cp:coreProperties>
</file>