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18A946C-B564-4D6C-8372-B9C89BB7BB7C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F12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I38" i="2" s="1"/>
  <c r="A38" i="2"/>
  <c r="A37" i="2"/>
  <c r="A32" i="2"/>
  <c r="A31" i="2"/>
  <c r="A26" i="2"/>
  <c r="A24" i="2"/>
  <c r="A23" i="2"/>
  <c r="A21" i="2"/>
  <c r="A18" i="2"/>
  <c r="A14" i="2"/>
  <c r="A13" i="2"/>
  <c r="H11" i="2"/>
  <c r="I11" i="2" s="1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A3" i="2"/>
  <c r="H2" i="2"/>
  <c r="G2" i="2"/>
  <c r="A2" i="2"/>
  <c r="A36" i="2" s="1"/>
  <c r="C33" i="1"/>
  <c r="C20" i="1"/>
  <c r="A15" i="2" l="1"/>
  <c r="A29" i="2"/>
  <c r="I2" i="2"/>
  <c r="A16" i="2"/>
  <c r="A30" i="2"/>
  <c r="A39" i="2"/>
  <c r="D19" i="26"/>
  <c r="I3" i="2"/>
  <c r="I7" i="2"/>
  <c r="A22" i="2"/>
  <c r="A34" i="2"/>
  <c r="F10" i="26"/>
  <c r="D10" i="26"/>
  <c r="G12" i="26"/>
  <c r="E19" i="26"/>
  <c r="E10" i="26"/>
  <c r="A17" i="2"/>
  <c r="A25" i="2"/>
  <c r="A33" i="2"/>
  <c r="G10" i="26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<sst xmlns="http://schemas.openxmlformats.org/spreadsheetml/2006/main" count="2092" uniqueCount="341">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</sst>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6509716.8125</v>
      </c>
    </row>
    <row r="8" spans="1:3" ht="15" customHeight="1" x14ac:dyDescent="0.25">
      <c r="B8" s="5" t="s">
        <v>44</v>
      </c>
      <c r="C8" s="44">
        <v>1E-3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0.8498191070556641</v>
      </c>
    </row>
    <row r="11" spans="1:3" ht="15" customHeight="1" x14ac:dyDescent="0.25">
      <c r="B11" s="5" t="s">
        <v>49</v>
      </c>
      <c r="C11" s="45">
        <v>0.88900000000000001</v>
      </c>
    </row>
    <row r="12" spans="1:3" ht="15" customHeight="1" x14ac:dyDescent="0.25">
      <c r="B12" s="5" t="s">
        <v>41</v>
      </c>
      <c r="C12" s="45">
        <v>0.373</v>
      </c>
    </row>
    <row r="13" spans="1:3" ht="15" customHeight="1" x14ac:dyDescent="0.25">
      <c r="B13" s="5" t="s">
        <v>62</v>
      </c>
      <c r="C13" s="45">
        <v>0.40300000000000002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7.0099999999999996E-2</v>
      </c>
    </row>
    <row r="24" spans="1:3" ht="15" customHeight="1" x14ac:dyDescent="0.25">
      <c r="B24" s="15" t="s">
        <v>46</v>
      </c>
      <c r="C24" s="45">
        <v>0.54359999999999997</v>
      </c>
    </row>
    <row r="25" spans="1:3" ht="15" customHeight="1" x14ac:dyDescent="0.25">
      <c r="B25" s="15" t="s">
        <v>47</v>
      </c>
      <c r="C25" s="45">
        <v>0.36299999999999999</v>
      </c>
    </row>
    <row r="26" spans="1:3" ht="15" customHeight="1" x14ac:dyDescent="0.25">
      <c r="B26" s="15" t="s">
        <v>48</v>
      </c>
      <c r="C26" s="45">
        <v>2.3300000000000001E-2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0.34186433168632502</v>
      </c>
    </row>
    <row r="30" spans="1:3" ht="14.25" customHeight="1" x14ac:dyDescent="0.25">
      <c r="B30" s="25" t="s">
        <v>63</v>
      </c>
      <c r="C30" s="99">
        <v>8.608449496655661E-2</v>
      </c>
    </row>
    <row r="31" spans="1:3" ht="14.25" customHeight="1" x14ac:dyDescent="0.25">
      <c r="B31" s="25" t="s">
        <v>10</v>
      </c>
      <c r="C31" s="99">
        <v>9.0131869666394693E-2</v>
      </c>
    </row>
    <row r="32" spans="1:3" ht="14.25" customHeight="1" x14ac:dyDescent="0.25">
      <c r="B32" s="25" t="s">
        <v>11</v>
      </c>
      <c r="C32" s="99">
        <v>0.481919303680723</v>
      </c>
    </row>
    <row r="33" spans="1:5" ht="13" customHeight="1" x14ac:dyDescent="0.25">
      <c r="B33" s="27" t="s">
        <v>60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5.2784806391885404</v>
      </c>
    </row>
    <row r="38" spans="1:5" ht="15" customHeight="1" x14ac:dyDescent="0.25">
      <c r="B38" s="11" t="s">
        <v>35</v>
      </c>
      <c r="C38" s="43">
        <v>8.6153282712556596</v>
      </c>
      <c r="D38" s="12"/>
      <c r="E38" s="13"/>
    </row>
    <row r="39" spans="1:5" ht="15" customHeight="1" x14ac:dyDescent="0.25">
      <c r="B39" s="11" t="s">
        <v>61</v>
      </c>
      <c r="C39" s="43">
        <v>10.046388231764</v>
      </c>
      <c r="D39" s="12"/>
      <c r="E39" s="12"/>
    </row>
    <row r="40" spans="1:5" ht="15" customHeight="1" x14ac:dyDescent="0.25">
      <c r="B40" s="11" t="s">
        <v>36</v>
      </c>
      <c r="C40" s="100">
        <v>0.17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4.4318235809999997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1.16606E-2</v>
      </c>
      <c r="D45" s="12"/>
    </row>
    <row r="46" spans="1:5" ht="15.75" customHeight="1" x14ac:dyDescent="0.25">
      <c r="B46" s="11" t="s">
        <v>51</v>
      </c>
      <c r="C46" s="45">
        <v>9.7556600000000007E-2</v>
      </c>
      <c r="D46" s="12"/>
    </row>
    <row r="47" spans="1:5" ht="15.75" customHeight="1" x14ac:dyDescent="0.25">
      <c r="B47" s="11" t="s">
        <v>59</v>
      </c>
      <c r="C47" s="45">
        <v>7.6106300000000002E-2</v>
      </c>
      <c r="D47" s="12"/>
      <c r="E47" s="13"/>
    </row>
    <row r="48" spans="1:5" ht="15" customHeight="1" x14ac:dyDescent="0.25">
      <c r="B48" s="11" t="s">
        <v>58</v>
      </c>
      <c r="C48" s="46">
        <v>0.81467650000000003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2.9</v>
      </c>
      <c r="D51" s="12"/>
    </row>
    <row r="52" spans="1:4" ht="15" customHeight="1" x14ac:dyDescent="0.25">
      <c r="B52" s="11" t="s">
        <v>13</v>
      </c>
      <c r="C52" s="100">
        <v>2.9</v>
      </c>
    </row>
    <row r="53" spans="1:4" ht="15.75" customHeight="1" x14ac:dyDescent="0.25">
      <c r="B53" s="11" t="s">
        <v>16</v>
      </c>
      <c r="C53" s="100">
        <v>2.9</v>
      </c>
    </row>
    <row r="54" spans="1:4" ht="15.75" customHeight="1" x14ac:dyDescent="0.25">
      <c r="B54" s="11" t="s">
        <v>14</v>
      </c>
      <c r="C54" s="100">
        <v>2.9</v>
      </c>
    </row>
    <row r="55" spans="1:4" ht="15.75" customHeight="1" x14ac:dyDescent="0.25">
      <c r="B55" s="11" t="s">
        <v>15</v>
      </c>
      <c r="C55" s="100">
        <v>2.9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2.0689655172413789E-2</v>
      </c>
    </row>
    <row r="59" spans="1:4" ht="15.75" customHeight="1" x14ac:dyDescent="0.25">
      <c r="B59" s="11" t="s">
        <v>40</v>
      </c>
      <c r="C59" s="45">
        <v>0.59711100000000006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0.11396655999999999</v>
      </c>
    </row>
    <row r="63" spans="1:4" ht="15.75" customHeight="1" x14ac:dyDescent="0.3">
      <c r="A63" s="4"/>
    </row>
  </sheetData>
  <sheetProtection algorithmName="SHA-512" hashValue="OXeduXTvRgvMJ3I0C6QZUnGWtzaHkcX8mPWwIYAQx9Yq/yK9rCyEL0zNz/IjGcp+g9YfcCKvahC71mxC79HuNw==" saltValue="6Mk42q7gm6po6Ei5RdRd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0.29903725313538099</v>
      </c>
      <c r="C2" s="98">
        <v>0.95</v>
      </c>
      <c r="D2" s="56">
        <v>100.8838400123179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40.840660619620337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1086.2600399420769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2.9040093126562878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13.972960063416251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13.972960063416251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13.972960063416251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13.972960063416251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13.972960063416251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13.972960063416251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0.51849530302429203</v>
      </c>
      <c r="C16" s="98">
        <v>0.95</v>
      </c>
      <c r="D16" s="56">
        <v>1.6797258633116019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24.839970481111401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24.839970481111401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27.799382182381819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24.616622973147329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4.8798255494888956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0.77382838197471704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0.26527210276061602</v>
      </c>
      <c r="C27" s="98">
        <v>0.95</v>
      </c>
      <c r="D27" s="56">
        <v>19.534604961991612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0.20399999999999999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211.45682792792479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0.56632019569628533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0.29309990000000002</v>
      </c>
      <c r="C32" s="98">
        <v>0.95</v>
      </c>
      <c r="D32" s="56">
        <v>3.7054411364622579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0.97297233962778806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3.7084194520624441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RgaBokW3r4Bd6D+qTpElnM02wyDgoXIKjbmKb8OX7SK2k72SYC27+xCEEnFvG3uDniBtZ67uC28lI9zafODWYg==" saltValue="N41A+KlcHEpBhCPOifFm6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x97o183GThgnxqixxJoBmO2KCqaFqXXVCmOf4ErBqp3PkZTabSJrImquTUU0vREOMRiYhwCegd4ir5Xpdn+BPg==" saltValue="xJGExJc5Zdk8rUyDjRzXw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M0uX4crSAEyvtOooUjXiwvSubTgU3nSdCGmCaTigrB3snKny2zTPBsMFksp2ID/sPyeVPAOWOTTHdP5evsu4vA==" saltValue="oMcDy0hWSThIS7J44Gv8B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5">
      <c r="A3" s="3" t="s">
        <v>6</v>
      </c>
      <c r="B3" s="21">
        <f>frac_mam_1month * 2.6</f>
        <v>0.173548232</v>
      </c>
      <c r="C3" s="21">
        <f>frac_mam_1_5months * 2.6</f>
        <v>0.173548232</v>
      </c>
      <c r="D3" s="21">
        <f>frac_mam_6_11months * 2.6</f>
        <v>6.4794191800000012E-2</v>
      </c>
      <c r="E3" s="21">
        <f>frac_mam_12_23months * 2.6</f>
        <v>2.4542515400000003E-2</v>
      </c>
      <c r="F3" s="21">
        <f>frac_mam_24_59months * 2.6</f>
        <v>1.7898596039999999E-2</v>
      </c>
    </row>
    <row r="4" spans="1:6" ht="15.75" customHeight="1" x14ac:dyDescent="0.25">
      <c r="A4" s="3" t="s">
        <v>207</v>
      </c>
      <c r="B4" s="21">
        <f>frac_sam_1month * 2.6</f>
        <v>5.6318347800000002E-2</v>
      </c>
      <c r="C4" s="21">
        <f>frac_sam_1_5months * 2.6</f>
        <v>5.6318347800000002E-2</v>
      </c>
      <c r="D4" s="21">
        <f>frac_sam_6_11months * 2.6</f>
        <v>0</v>
      </c>
      <c r="E4" s="21">
        <f>frac_sam_12_23months * 2.6</f>
        <v>2.418436098E-2</v>
      </c>
      <c r="F4" s="21">
        <f>frac_sam_24_59months * 2.6</f>
        <v>4.0075848799999998E-3</v>
      </c>
    </row>
  </sheetData>
  <sheetProtection algorithmName="SHA-512" hashValue="DezVL3LVUSU5aTcpLlcXpIGWfGPsWo7cnKipicygBPDFa/eGh8dwLmaJwZZkVkJTgpQmFMpCRnAC14IuRbfriQ==" saltValue="+hPRZghy3kzNiTuHCWvD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1E-3</v>
      </c>
      <c r="E2" s="60">
        <f>food_insecure</f>
        <v>1E-3</v>
      </c>
      <c r="F2" s="60">
        <f>food_insecure</f>
        <v>1E-3</v>
      </c>
      <c r="G2" s="60">
        <f>food_insecure</f>
        <v>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1E-3</v>
      </c>
      <c r="F5" s="60">
        <f>food_insecure</f>
        <v>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1E-3</v>
      </c>
      <c r="F8" s="60">
        <f>food_insecure</f>
        <v>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1E-3</v>
      </c>
      <c r="F9" s="60">
        <f>food_insecure</f>
        <v>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0.373</v>
      </c>
      <c r="E10" s="60">
        <f>IF(ISBLANK(comm_deliv), frac_children_health_facility,1)</f>
        <v>0.373</v>
      </c>
      <c r="F10" s="60">
        <f>IF(ISBLANK(comm_deliv), frac_children_health_facility,1)</f>
        <v>0.373</v>
      </c>
      <c r="G10" s="60">
        <f>IF(ISBLANK(comm_deliv), frac_children_health_facility,1)</f>
        <v>0.373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1E-3</v>
      </c>
      <c r="I15" s="60">
        <f>food_insecure</f>
        <v>1E-3</v>
      </c>
      <c r="J15" s="60">
        <f>food_insecure</f>
        <v>1E-3</v>
      </c>
      <c r="K15" s="60">
        <f>food_insecure</f>
        <v>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0.88900000000000001</v>
      </c>
      <c r="I18" s="60">
        <f>frac_PW_health_facility</f>
        <v>0.88900000000000001</v>
      </c>
      <c r="J18" s="60">
        <f>frac_PW_health_facility</f>
        <v>0.88900000000000001</v>
      </c>
      <c r="K18" s="60">
        <f>frac_PW_health_facility</f>
        <v>0.88900000000000001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0.40300000000000002</v>
      </c>
      <c r="M24" s="60">
        <f>famplan_unmet_need</f>
        <v>0.40300000000000002</v>
      </c>
      <c r="N24" s="60">
        <f>famplan_unmet_need</f>
        <v>0.40300000000000002</v>
      </c>
      <c r="O24" s="60">
        <f>famplan_unmet_need</f>
        <v>0.40300000000000002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7.3620175530242901E-2</v>
      </c>
      <c r="M25" s="60">
        <f>(1-food_insecure)*(0.49)+food_insecure*(0.7)</f>
        <v>0.49020999999999998</v>
      </c>
      <c r="N25" s="60">
        <f>(1-food_insecure)*(0.49)+food_insecure*(0.7)</f>
        <v>0.49020999999999998</v>
      </c>
      <c r="O25" s="60">
        <f>(1-food_insecure)*(0.49)+food_insecure*(0.7)</f>
        <v>0.49020999999999998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3.155150379867553E-2</v>
      </c>
      <c r="M26" s="60">
        <f>(1-food_insecure)*(0.21)+food_insecure*(0.3)</f>
        <v>0.21009</v>
      </c>
      <c r="N26" s="60">
        <f>(1-food_insecure)*(0.21)+food_insecure*(0.3)</f>
        <v>0.21009</v>
      </c>
      <c r="O26" s="60">
        <f>(1-food_insecure)*(0.21)+food_insecure*(0.3)</f>
        <v>0.21009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4.5009213615417466E-2</v>
      </c>
      <c r="M27" s="60">
        <f>(1-food_insecure)*(0.3)</f>
        <v>0.29969999999999997</v>
      </c>
      <c r="N27" s="60">
        <f>(1-food_insecure)*(0.3)</f>
        <v>0.29969999999999997</v>
      </c>
      <c r="O27" s="60">
        <f>(1-food_insecure)*(0.3)</f>
        <v>0.29969999999999997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0.8498191070556641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wGo1iIzxNKSZH2Swt8p2EuLBM29jsdn17IZOszEkibRVCo6ZJx4iUWPavJ5K9E60AXt2XavStzGCJbB2eLgjQg==" saltValue="39tmeEFS8w2wT4bY0wL0f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IXjHKEKqlpyHeP+keDwVjzvoWe6KpjoO9eKlWBDfSQVV3+jXlTsoG+B7r3FanRVKoTeBA2DQPzd++7MVA9piyA==" saltValue="RN4+vpPZpznvVj9FOlpI5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NXhEWDWMRtMY/2acs4SGUOiFK0Cz4WdRIj1pQzaqLXmMn5Ok8S7hPTSm0li9lse1nL480Z8PTVcglIzTxMQV4g==" saltValue="wZurUusEvbTKcQGi55G/k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HHiOJRznoQmqdvg0PgsWBA5zfCn56CI0lqwdifnAqR0IRGhIGkoWZOe5RdZZ8cQ8wPWxR0FcdKCdcCx4uj3Vjw==" saltValue="EsygTW7NvP7gT+4dimDxU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lDgHo4zj0I2bvK7rc8wnQMb4i34QIT9+Hvn5mZn+ri9wTqlEPUlzaVl7ZozdN0q0aJLwFuyaBxgJRXi2Ekk4SQ==" saltValue="lfriNn33TsSyez8qEJzt7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W+c4+MptXI9yyrPleBYSC4eujQE+ngpGehaziAzXGF3fXIII5V8He36jeTDvuJiFeMc3ySDcQdpwBY1JCdDvHg==" saltValue="FbUsPDvqWql/FrYsLLJY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1263888.0190000001</v>
      </c>
      <c r="C2" s="49">
        <v>3314000</v>
      </c>
      <c r="D2" s="49">
        <v>6508000</v>
      </c>
      <c r="E2" s="49">
        <v>496000</v>
      </c>
      <c r="F2" s="49">
        <v>366000</v>
      </c>
      <c r="G2" s="17">
        <f t="shared" ref="G2:G11" si="0">C2+D2+E2+F2</f>
        <v>10684000</v>
      </c>
      <c r="H2" s="17">
        <f t="shared" ref="H2:H11" si="1">(B2 + stillbirth*B2/(1000-stillbirth))/(1-abortion)</f>
        <v>1442629.8662873399</v>
      </c>
      <c r="I2" s="17">
        <f t="shared" ref="I2:I11" si="2">G2-H2</f>
        <v>9241370.1337126605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1253282.0828</v>
      </c>
      <c r="C3" s="50">
        <v>3290000</v>
      </c>
      <c r="D3" s="50">
        <v>6523000</v>
      </c>
      <c r="E3" s="50">
        <v>509000</v>
      </c>
      <c r="F3" s="50">
        <v>375000</v>
      </c>
      <c r="G3" s="17">
        <f t="shared" si="0"/>
        <v>10697000</v>
      </c>
      <c r="H3" s="17">
        <f t="shared" si="1"/>
        <v>1430524.0150631438</v>
      </c>
      <c r="I3" s="17">
        <f t="shared" si="2"/>
        <v>9266475.9849368557</v>
      </c>
    </row>
    <row r="4" spans="1:9" ht="15.75" customHeight="1" x14ac:dyDescent="0.25">
      <c r="A4" s="5">
        <f t="shared" si="3"/>
        <v>2023</v>
      </c>
      <c r="B4" s="49">
        <v>1240732.2312</v>
      </c>
      <c r="C4" s="50">
        <v>3261000</v>
      </c>
      <c r="D4" s="50">
        <v>6526000</v>
      </c>
      <c r="E4" s="50">
        <v>520000</v>
      </c>
      <c r="F4" s="50">
        <v>384000</v>
      </c>
      <c r="G4" s="17">
        <f t="shared" si="0"/>
        <v>10691000</v>
      </c>
      <c r="H4" s="17">
        <f t="shared" si="1"/>
        <v>1416199.3356109574</v>
      </c>
      <c r="I4" s="17">
        <f t="shared" si="2"/>
        <v>9274800.6643890422</v>
      </c>
    </row>
    <row r="5" spans="1:9" ht="15.75" customHeight="1" x14ac:dyDescent="0.25">
      <c r="A5" s="5">
        <f t="shared" si="3"/>
        <v>2024</v>
      </c>
      <c r="B5" s="49">
        <v>1227488.4288000001</v>
      </c>
      <c r="C5" s="50">
        <v>3235000</v>
      </c>
      <c r="D5" s="50">
        <v>6516000</v>
      </c>
      <c r="E5" s="50">
        <v>528000</v>
      </c>
      <c r="F5" s="50">
        <v>394000</v>
      </c>
      <c r="G5" s="17">
        <f t="shared" si="0"/>
        <v>10673000</v>
      </c>
      <c r="H5" s="17">
        <f t="shared" si="1"/>
        <v>1401082.5652972672</v>
      </c>
      <c r="I5" s="17">
        <f t="shared" si="2"/>
        <v>9271917.4347027335</v>
      </c>
    </row>
    <row r="6" spans="1:9" ht="15.75" customHeight="1" x14ac:dyDescent="0.25">
      <c r="A6" s="5">
        <f t="shared" si="3"/>
        <v>2025</v>
      </c>
      <c r="B6" s="49">
        <v>1214448.625</v>
      </c>
      <c r="C6" s="50">
        <v>3214000</v>
      </c>
      <c r="D6" s="50">
        <v>6497000</v>
      </c>
      <c r="E6" s="50">
        <v>530000</v>
      </c>
      <c r="F6" s="50">
        <v>405000</v>
      </c>
      <c r="G6" s="17">
        <f t="shared" si="0"/>
        <v>10646000</v>
      </c>
      <c r="H6" s="17">
        <f t="shared" si="1"/>
        <v>1386198.6435181119</v>
      </c>
      <c r="I6" s="17">
        <f t="shared" si="2"/>
        <v>9259801.3564818874</v>
      </c>
    </row>
    <row r="7" spans="1:9" ht="15.75" customHeight="1" x14ac:dyDescent="0.25">
      <c r="A7" s="5">
        <f t="shared" si="3"/>
        <v>2026</v>
      </c>
      <c r="B7" s="49">
        <v>1205093.5728</v>
      </c>
      <c r="C7" s="50">
        <v>3202000</v>
      </c>
      <c r="D7" s="50">
        <v>6473000</v>
      </c>
      <c r="E7" s="50">
        <v>527000</v>
      </c>
      <c r="F7" s="50">
        <v>417000</v>
      </c>
      <c r="G7" s="17">
        <f t="shared" si="0"/>
        <v>10619000</v>
      </c>
      <c r="H7" s="17">
        <f t="shared" si="1"/>
        <v>1375520.5790839896</v>
      </c>
      <c r="I7" s="17">
        <f t="shared" si="2"/>
        <v>9243479.4209160097</v>
      </c>
    </row>
    <row r="8" spans="1:9" ht="15.75" customHeight="1" x14ac:dyDescent="0.25">
      <c r="A8" s="5">
        <f t="shared" si="3"/>
        <v>2027</v>
      </c>
      <c r="B8" s="49">
        <v>1195992.3959999999</v>
      </c>
      <c r="C8" s="50">
        <v>3195000</v>
      </c>
      <c r="D8" s="50">
        <v>6441000</v>
      </c>
      <c r="E8" s="50">
        <v>521000</v>
      </c>
      <c r="F8" s="50">
        <v>429000</v>
      </c>
      <c r="G8" s="17">
        <f t="shared" si="0"/>
        <v>10586000</v>
      </c>
      <c r="H8" s="17">
        <f t="shared" si="1"/>
        <v>1365132.2936720988</v>
      </c>
      <c r="I8" s="17">
        <f t="shared" si="2"/>
        <v>9220867.7063279003</v>
      </c>
    </row>
    <row r="9" spans="1:9" ht="15.75" customHeight="1" x14ac:dyDescent="0.25">
      <c r="A9" s="5">
        <f t="shared" si="3"/>
        <v>2028</v>
      </c>
      <c r="B9" s="49">
        <v>1187089.1103999999</v>
      </c>
      <c r="C9" s="50">
        <v>3189000</v>
      </c>
      <c r="D9" s="50">
        <v>6404000</v>
      </c>
      <c r="E9" s="50">
        <v>511000</v>
      </c>
      <c r="F9" s="50">
        <v>443000</v>
      </c>
      <c r="G9" s="17">
        <f t="shared" si="0"/>
        <v>10547000</v>
      </c>
      <c r="H9" s="17">
        <f t="shared" si="1"/>
        <v>1354969.8856726871</v>
      </c>
      <c r="I9" s="17">
        <f t="shared" si="2"/>
        <v>9192030.1143273134</v>
      </c>
    </row>
    <row r="10" spans="1:9" ht="15.75" customHeight="1" x14ac:dyDescent="0.25">
      <c r="A10" s="5">
        <f t="shared" si="3"/>
        <v>2029</v>
      </c>
      <c r="B10" s="49">
        <v>1178209.2420000001</v>
      </c>
      <c r="C10" s="50">
        <v>3179000</v>
      </c>
      <c r="D10" s="50">
        <v>6368000</v>
      </c>
      <c r="E10" s="50">
        <v>501000</v>
      </c>
      <c r="F10" s="50">
        <v>456000</v>
      </c>
      <c r="G10" s="17">
        <f t="shared" si="0"/>
        <v>10504000</v>
      </c>
      <c r="H10" s="17">
        <f t="shared" si="1"/>
        <v>1344834.2065856454</v>
      </c>
      <c r="I10" s="17">
        <f t="shared" si="2"/>
        <v>9159165.7934143543</v>
      </c>
    </row>
    <row r="11" spans="1:9" ht="15.75" customHeight="1" x14ac:dyDescent="0.25">
      <c r="A11" s="5">
        <f t="shared" si="3"/>
        <v>2030</v>
      </c>
      <c r="B11" s="49">
        <v>1169226.4080000001</v>
      </c>
      <c r="C11" s="50">
        <v>3163000</v>
      </c>
      <c r="D11" s="50">
        <v>6335000</v>
      </c>
      <c r="E11" s="50">
        <v>491000</v>
      </c>
      <c r="F11" s="50">
        <v>469000</v>
      </c>
      <c r="G11" s="17">
        <f t="shared" si="0"/>
        <v>10458000</v>
      </c>
      <c r="H11" s="17">
        <f t="shared" si="1"/>
        <v>1334581.0002750463</v>
      </c>
      <c r="I11" s="17">
        <f t="shared" si="2"/>
        <v>9123418.9997249544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qUUsDEx3VFi7IDaO39BRfj4WfPfVqzEkhQNFxgufrjeb9jH5VlCGLj+YRAxWia2bpNJmAY6hmi2o+3AB2VJwg==" saltValue="gNdp78ZGTpahw+/diHfb9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2.3810042860454455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2.3810042860454455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1.7921911455381039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1.7921911455381039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1.9124492604228838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1.9124492604228838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1.5234120068733901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1.5234120068733901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2.8988808933124868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2.8988808933124868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2.0892628251148926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2.0892628251148926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nE7UEqbs7GMQdEufDOgzh8QzWUHc4OaxC9qllw2ExJisuQjKtH5NuZK4Uoi0RloK9K4oGm9Hndy0VWP+m0aycw==" saltValue="epUjAL1+yEjgW+MYmWq/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z8yNJCS1H5e6Rv85wEqyRNRqCZAePAteWZJPseci99H/n/m/i9YOV3CVIgpaEk81xTzHspoSSfwugE2uHwrYPw==" saltValue="GVgT60ZIsSZJaGIy7B46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PcJeaDjSDPfZWOgSCs2UffF8k6MxoKTlrBV+DCyHBk9Emq3RDiomtOUKueGonnLjJXV9k+9fA/A5bQLgTNy1DQ==" saltValue="HYnQQYBd0sd6DWuVLIMgb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0.62755755161636695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0.62755755161636695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0.87422232741487871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0.42683567708312736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0.42683567708312736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0.84303554824863325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0.84303554824863325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0.84303554824863325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0.84303554824863325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0.91596430512110361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0.91596430512110361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0.90551165387735055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0.90551165387735055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0.90551165387735055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0.90551165387735055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wYTsY3v/PBwesQU8YxaWBncg2zBrjm0amKCKOtiSgY9/ChMpRzvlGqAn8BNCXmXqRyYA2x280toyEqb1p5p5ng==" saltValue="49K/gBdODb863oN5Bd69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/TAWoUtxVW0OQxr+zv4GWvAsrEq6lww2RWsknrDRM7agksHXWEUI2txE7LXkt4K19EuB2sE6N93M1XMaTmflJA==" saltValue="StGv31BFVohsAt13LnsA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0.66305209386308717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0.66638722274481388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0.66638722274481388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0.62781794980859218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0.62781794980859218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0.62781794980859218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0.62781794980859218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0.6405463695183321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0.6405463695183321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0.6405463695183321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0.6405463695183321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0.753758260916362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0.75652525543371818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0.75652525543371818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0.72406181015452553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0.72406181015452553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0.72406181015452553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0.72406181015452553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0.73488865323435859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0.73488865323435859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0.73488865323435859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0.73488865323435859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0.47322719717741063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0.47695907709424196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0.47695907709424196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0.43505600314403625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0.43505600314403625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0.43505600314403625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0.43505600314403625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0.44858670374721304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0.44858670374721304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0.44858670374721304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0.44858670374721304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0.64101251974713391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0.64444881864413095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0.64444881864413095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0.60484720758693356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0.60484720758693356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0.60484720758693356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0.60484720758693356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0.61788307222009942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0.61788307222009942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0.61788307222009942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0.61788307222009942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0.96115522349111249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0.96171010468303442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0.96171010468303442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0.95497658782566941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0.95497658782566941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0.95497658782566941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0.95497658782566941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0.95727773742897437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0.95727773742897437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0.95727773742897437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0.95727773742897437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0.89796458301957027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0.89932757107417427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0.89932757107417427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0.88295880149812733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0.88295880149812733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0.88295880149812733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0.88295880149812733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0.88851106527677159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0.88851106527677159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0.88851106527677159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0.88851106527677159</v>
      </c>
    </row>
  </sheetData>
  <sheetProtection algorithmName="SHA-512" hashValue="JCVUAQ0fjfCR7OEAj0frnKJdN9+qMYCiUFQtHkMQFtfpJyFEv2FU3rivUyKvETP+6qkgfuPzZrgWuFnjREkiUw==" saltValue="ALfQjfBbfyz6/+MIBD/7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0.85734252279262824</v>
      </c>
      <c r="E3" s="90" t="e">
        <f>IF(ISBLANK('Distribución estado nutricional'!E$11),0.86,(0.86*'Distribución estado nutricional'!E$11/(1-0.86*'Distribución estado nutricional'!E$11))
/ ('Distribución estado nutricional'!E$11/(1-'Distribución estado nutricional'!E$11)))</f>
        <v>#DIV/0!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0.85887104705896777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0.85981417166107854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0.85147394889431272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0.85693381628341114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0.85885419117670991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0.85916622109655905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0.77160827051336545</v>
      </c>
      <c r="E10" s="90" t="e">
        <f>E3*0.9</f>
        <v>#DIV/0!</v>
      </c>
      <c r="F10" s="90">
        <f>F3*0.9</f>
        <v>0.772983942353071</v>
      </c>
      <c r="G10" s="90">
        <f>G3*0.9</f>
        <v>0.77383275449497069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0.76632655400488148</v>
      </c>
      <c r="E12" s="90">
        <f>E5*0.9</f>
        <v>0.77124043465507008</v>
      </c>
      <c r="F12" s="90">
        <f>F5*0.9</f>
        <v>0.77296877205903891</v>
      </c>
      <c r="G12" s="90">
        <f>G5*0.9</f>
        <v>0.77324959898690315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0.90020964893225963</v>
      </c>
      <c r="E17" s="90" t="e">
        <f>E3*1.05</f>
        <v>#DIV/0!</v>
      </c>
      <c r="F17" s="90">
        <f>F3*1.05</f>
        <v>0.90181459941191622</v>
      </c>
      <c r="G17" s="90">
        <f>G3*1.05</f>
        <v>0.90280488024413252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0.89404764633902833</v>
      </c>
      <c r="E19" s="90">
        <f>E5*1.05</f>
        <v>0.89978050709758173</v>
      </c>
      <c r="F19" s="90">
        <f>F5*1.05</f>
        <v>0.90179690073554541</v>
      </c>
      <c r="G19" s="90">
        <f>G5*1.05</f>
        <v>0.90212453215138699</v>
      </c>
    </row>
  </sheetData>
  <sheetProtection algorithmName="SHA-512" hashValue="NHhYNFkvqRmJmf7O9CVeoetmZRFSqpjIicRJmLSnaEUxVKMymjiwZJoIpyx8+3PBco8agq6SEDKLV8HZ+T1E1g==" saltValue="itKCrcHbJcoR8cmFfuusJ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6o1RDKc0+J+T0/76HTDcBKEtrFU60zx+xgbfm94G9F0kXcCs2CUUjwJjnrhvvgrA5Ko/2Db0Gk3/XB/wr8nVkg==" saltValue="lD1GZlOB/FdGcGnHCq8i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aS7jmgJxVTVe1isHnXkCMv30RBJfnrgHbANzRe5w6sb8dFP7egDn7wmTg1MoXh9vZLmcVPqSGz4xySNJfSf2mw==" saltValue="uuGW71zDy06xqb/0g69A3w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6.5780787918312059E-2</v>
      </c>
    </row>
    <row r="5" spans="1:8" ht="15.75" customHeight="1" x14ac:dyDescent="0.25">
      <c r="B5" s="19" t="s">
        <v>95</v>
      </c>
      <c r="C5" s="101">
        <v>1.324948228162641E-2</v>
      </c>
    </row>
    <row r="6" spans="1:8" ht="15.75" customHeight="1" x14ac:dyDescent="0.25">
      <c r="B6" s="19" t="s">
        <v>91</v>
      </c>
      <c r="C6" s="101">
        <v>7.7491190228652154E-2</v>
      </c>
    </row>
    <row r="7" spans="1:8" ht="15.75" customHeight="1" x14ac:dyDescent="0.25">
      <c r="B7" s="19" t="s">
        <v>96</v>
      </c>
      <c r="C7" s="101">
        <v>0.40754536158370702</v>
      </c>
    </row>
    <row r="8" spans="1:8" ht="15.75" customHeight="1" x14ac:dyDescent="0.25">
      <c r="B8" s="19" t="s">
        <v>98</v>
      </c>
      <c r="C8" s="101">
        <v>0</v>
      </c>
    </row>
    <row r="9" spans="1:8" ht="15.75" customHeight="1" x14ac:dyDescent="0.25">
      <c r="B9" s="19" t="s">
        <v>92</v>
      </c>
      <c r="C9" s="101">
        <v>0.30498340206693358</v>
      </c>
    </row>
    <row r="10" spans="1:8" ht="15.75" customHeight="1" x14ac:dyDescent="0.25">
      <c r="B10" s="19" t="s">
        <v>94</v>
      </c>
      <c r="C10" s="101">
        <v>0.13094977592076881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1.8973157017512472E-2</v>
      </c>
      <c r="D14" s="55">
        <v>1.8973157017512472E-2</v>
      </c>
      <c r="E14" s="55">
        <v>1.8973157017512472E-2</v>
      </c>
      <c r="F14" s="55">
        <v>1.8973157017512472E-2</v>
      </c>
    </row>
    <row r="15" spans="1:8" ht="15.75" customHeight="1" x14ac:dyDescent="0.25">
      <c r="B15" s="19" t="s">
        <v>102</v>
      </c>
      <c r="C15" s="101">
        <v>7.1740472660633589E-2</v>
      </c>
      <c r="D15" s="101">
        <v>7.1740472660633589E-2</v>
      </c>
      <c r="E15" s="101">
        <v>7.1740472660633589E-2</v>
      </c>
      <c r="F15" s="101">
        <v>7.1740472660633589E-2</v>
      </c>
    </row>
    <row r="16" spans="1:8" ht="15.75" customHeight="1" x14ac:dyDescent="0.25">
      <c r="B16" s="19" t="s">
        <v>2</v>
      </c>
      <c r="C16" s="101">
        <v>9.228266138645299E-3</v>
      </c>
      <c r="D16" s="101">
        <v>9.228266138645299E-3</v>
      </c>
      <c r="E16" s="101">
        <v>9.228266138645299E-3</v>
      </c>
      <c r="F16" s="101">
        <v>9.228266138645299E-3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9.5464713926239064E-2</v>
      </c>
      <c r="D21" s="101">
        <v>9.5464713926239064E-2</v>
      </c>
      <c r="E21" s="101">
        <v>9.5464713926239064E-2</v>
      </c>
      <c r="F21" s="101">
        <v>9.5464713926239064E-2</v>
      </c>
    </row>
    <row r="22" spans="1:8" ht="15.75" customHeight="1" x14ac:dyDescent="0.25">
      <c r="B22" s="19" t="s">
        <v>99</v>
      </c>
      <c r="C22" s="101">
        <v>0.80459339025696952</v>
      </c>
      <c r="D22" s="101">
        <v>0.80459339025696952</v>
      </c>
      <c r="E22" s="101">
        <v>0.80459339025696952</v>
      </c>
      <c r="F22" s="101">
        <v>0.80459339025696952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3.9700850000000003E-2</v>
      </c>
    </row>
    <row r="27" spans="1:8" ht="15.75" customHeight="1" x14ac:dyDescent="0.25">
      <c r="B27" s="19" t="s">
        <v>89</v>
      </c>
      <c r="C27" s="101">
        <v>2.3007410999999998E-2</v>
      </c>
    </row>
    <row r="28" spans="1:8" ht="15.75" customHeight="1" x14ac:dyDescent="0.25">
      <c r="B28" s="19" t="s">
        <v>103</v>
      </c>
      <c r="C28" s="101">
        <v>0.18789456399999999</v>
      </c>
    </row>
    <row r="29" spans="1:8" ht="15.75" customHeight="1" x14ac:dyDescent="0.25">
      <c r="B29" s="19" t="s">
        <v>86</v>
      </c>
      <c r="C29" s="101">
        <v>0.14356665699999999</v>
      </c>
    </row>
    <row r="30" spans="1:8" ht="15.75" customHeight="1" x14ac:dyDescent="0.25">
      <c r="B30" s="19" t="s">
        <v>4</v>
      </c>
      <c r="C30" s="101">
        <v>5.2092121999999998E-2</v>
      </c>
    </row>
    <row r="31" spans="1:8" ht="15.75" customHeight="1" x14ac:dyDescent="0.25">
      <c r="B31" s="19" t="s">
        <v>80</v>
      </c>
      <c r="C31" s="101">
        <v>2.4076997999999999E-2</v>
      </c>
    </row>
    <row r="32" spans="1:8" ht="15.75" customHeight="1" x14ac:dyDescent="0.25">
      <c r="B32" s="19" t="s">
        <v>85</v>
      </c>
      <c r="C32" s="101">
        <v>8.5285021000000003E-2</v>
      </c>
    </row>
    <row r="33" spans="2:3" ht="15.75" customHeight="1" x14ac:dyDescent="0.25">
      <c r="B33" s="19" t="s">
        <v>100</v>
      </c>
      <c r="C33" s="101">
        <v>0.223807599</v>
      </c>
    </row>
    <row r="34" spans="2:3" ht="15.75" customHeight="1" x14ac:dyDescent="0.25">
      <c r="B34" s="19" t="s">
        <v>87</v>
      </c>
      <c r="C34" s="101">
        <v>0.22056877799999999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u3gjhKX+zwT9JQ5x6RSvlf4vEQ4mZO2jLuJqjgMoj8UOoFdozJrAEDAC0ekSPNPk1y8wRMpSoUhNdQOO7750lg==" saltValue="PR5omaWv4XLxTsFQsg+H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0.54900253810195621</v>
      </c>
      <c r="D2" s="52">
        <f>IFERROR(1-_xlfn.NORM.DIST(_xlfn.NORM.INV(SUM(D4:D5), 0, 1) + 1, 0, 1, TRUE), "")</f>
        <v>0.54900253810195621</v>
      </c>
      <c r="E2" s="52">
        <f>IFERROR(1-_xlfn.NORM.DIST(_xlfn.NORM.INV(SUM(E4:E5), 0, 1) + 1, 0, 1, TRUE), "")</f>
        <v>0.73365039545316124</v>
      </c>
      <c r="F2" s="52">
        <f>IFERROR(1-_xlfn.NORM.DIST(_xlfn.NORM.INV(SUM(F4:F5), 0, 1) + 1, 0, 1, TRUE), "")</f>
        <v>0.61490870815438781</v>
      </c>
      <c r="G2" s="52">
        <f>IFERROR(1-_xlfn.NORM.DIST(_xlfn.NORM.INV(SUM(G4:G5), 0, 1) + 1, 0, 1, TRUE), "")</f>
        <v>0.5979591492284243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0.32030879389804379</v>
      </c>
      <c r="D3" s="52">
        <f>IFERROR(_xlfn.NORM.DIST(_xlfn.NORM.INV(SUM(D4:D5), 0, 1) + 1, 0, 1, TRUE) - SUM(D4:D5), "")</f>
        <v>0.32030879389804379</v>
      </c>
      <c r="E3" s="52">
        <f>IFERROR(_xlfn.NORM.DIST(_xlfn.NORM.INV(SUM(E4:E5), 0, 1) + 1, 0, 1, TRUE) - SUM(E4:E5), "")</f>
        <v>0.21415006154683869</v>
      </c>
      <c r="F3" s="52">
        <f>IFERROR(_xlfn.NORM.DIST(_xlfn.NORM.INV(SUM(F4:F5), 0, 1) + 1, 0, 1, TRUE) - SUM(F4:F5), "")</f>
        <v>0.28693627984561221</v>
      </c>
      <c r="G3" s="52">
        <f>IFERROR(_xlfn.NORM.DIST(_xlfn.NORM.INV(SUM(G4:G5), 0, 1) + 1, 0, 1, TRUE) - SUM(G4:G5), "")</f>
        <v>0.29603779477157571</v>
      </c>
    </row>
    <row r="4" spans="1:15" ht="15.75" customHeight="1" x14ac:dyDescent="0.25">
      <c r="B4" s="5" t="s">
        <v>110</v>
      </c>
      <c r="C4" s="45">
        <v>6.1346827E-2</v>
      </c>
      <c r="D4" s="53">
        <v>6.1346827E-2</v>
      </c>
      <c r="E4" s="53">
        <v>4.1452804000000003E-2</v>
      </c>
      <c r="F4" s="53">
        <v>6.262425399999999E-2</v>
      </c>
      <c r="G4" s="53">
        <v>6.9781623000000001E-2</v>
      </c>
    </row>
    <row r="5" spans="1:15" ht="15.75" customHeight="1" x14ac:dyDescent="0.25">
      <c r="B5" s="5" t="s">
        <v>106</v>
      </c>
      <c r="C5" s="45">
        <v>6.9341841000000001E-2</v>
      </c>
      <c r="D5" s="53">
        <v>6.9341841000000001E-2</v>
      </c>
      <c r="E5" s="53">
        <v>1.0746739E-2</v>
      </c>
      <c r="F5" s="53">
        <v>3.5530758000000003E-2</v>
      </c>
      <c r="G5" s="53">
        <v>3.6221432999999997E-2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0.63705946454588847</v>
      </c>
      <c r="D8" s="52">
        <f>IFERROR(1-_xlfn.NORM.DIST(_xlfn.NORM.INV(SUM(D10:D11), 0, 1) + 1, 0, 1, TRUE), "")</f>
        <v>0.63705946454588847</v>
      </c>
      <c r="E8" s="52">
        <f>IFERROR(1-_xlfn.NORM.DIST(_xlfn.NORM.INV(SUM(E10:E11), 0, 1) + 1, 0, 1, TRUE), "")</f>
        <v>0.83180439497187475</v>
      </c>
      <c r="F8" s="52">
        <f>IFERROR(1-_xlfn.NORM.DIST(_xlfn.NORM.INV(SUM(F10:F11), 0, 1) + 1, 0, 1, TRUE), "")</f>
        <v>0.8600340937545069</v>
      </c>
      <c r="G8" s="52">
        <f>IFERROR(1-_xlfn.NORM.DIST(_xlfn.NORM.INV(SUM(G10:G11), 0, 1) + 1, 0, 1, TRUE), "")</f>
        <v>0.91772716951429534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0.27453031245411152</v>
      </c>
      <c r="D9" s="52">
        <f>IFERROR(_xlfn.NORM.DIST(_xlfn.NORM.INV(SUM(D10:D11), 0, 1) + 1, 0, 1, TRUE) - SUM(D10:D11), "")</f>
        <v>0.27453031245411152</v>
      </c>
      <c r="E9" s="52">
        <f>IFERROR(_xlfn.NORM.DIST(_xlfn.NORM.INV(SUM(E10:E11), 0, 1) + 1, 0, 1, TRUE) - SUM(E10:E11), "")</f>
        <v>0.14327476202812525</v>
      </c>
      <c r="F9" s="52">
        <f>IFERROR(_xlfn.NORM.DIST(_xlfn.NORM.INV(SUM(F10:F11), 0, 1) + 1, 0, 1, TRUE) - SUM(F10:F11), "")</f>
        <v>0.12122479994549312</v>
      </c>
      <c r="G9" s="52">
        <f>IFERROR(_xlfn.NORM.DIST(_xlfn.NORM.INV(SUM(G10:G11), 0, 1) + 1, 0, 1, TRUE) - SUM(G10:G11), "")</f>
        <v>7.3847376285704619E-2</v>
      </c>
    </row>
    <row r="10" spans="1:15" ht="15.75" customHeight="1" x14ac:dyDescent="0.25">
      <c r="B10" s="5" t="s">
        <v>107</v>
      </c>
      <c r="C10" s="45">
        <v>6.6749320000000001E-2</v>
      </c>
      <c r="D10" s="53">
        <v>6.6749320000000001E-2</v>
      </c>
      <c r="E10" s="53">
        <v>2.4920843000000002E-2</v>
      </c>
      <c r="F10" s="53">
        <v>9.4394290000000009E-3</v>
      </c>
      <c r="G10" s="53">
        <v>6.8840754000000001E-3</v>
      </c>
    </row>
    <row r="11" spans="1:15" ht="15.75" customHeight="1" x14ac:dyDescent="0.25">
      <c r="B11" s="5" t="s">
        <v>119</v>
      </c>
      <c r="C11" s="45">
        <v>2.1660902999999999E-2</v>
      </c>
      <c r="D11" s="53">
        <v>2.1660902999999999E-2</v>
      </c>
      <c r="E11" s="53">
        <v>0</v>
      </c>
      <c r="F11" s="53">
        <v>9.3016773000000001E-3</v>
      </c>
      <c r="G11" s="53">
        <v>1.5413788E-3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0.22474285975</v>
      </c>
      <c r="D14" s="54">
        <v>0.234737514727</v>
      </c>
      <c r="E14" s="54">
        <v>0.234737514727</v>
      </c>
      <c r="F14" s="54">
        <v>0.223199456702</v>
      </c>
      <c r="G14" s="54">
        <v>0.223199456702</v>
      </c>
      <c r="H14" s="45">
        <v>0.34399999999999997</v>
      </c>
      <c r="I14" s="55">
        <v>0.34399999999999997</v>
      </c>
      <c r="J14" s="55">
        <v>0.34399999999999997</v>
      </c>
      <c r="K14" s="55">
        <v>0.34399999999999997</v>
      </c>
      <c r="L14" s="45">
        <v>0.307</v>
      </c>
      <c r="M14" s="55">
        <v>0.307</v>
      </c>
      <c r="N14" s="55">
        <v>0.307</v>
      </c>
      <c r="O14" s="55">
        <v>0.307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0.13419643372818227</v>
      </c>
      <c r="D15" s="52">
        <f t="shared" si="0"/>
        <v>0.14016435215615372</v>
      </c>
      <c r="E15" s="52">
        <f t="shared" si="0"/>
        <v>0.14016435215615372</v>
      </c>
      <c r="F15" s="52">
        <f t="shared" si="0"/>
        <v>0.13327485079078794</v>
      </c>
      <c r="G15" s="52">
        <f t="shared" si="0"/>
        <v>0.13327485079078794</v>
      </c>
      <c r="H15" s="52">
        <f t="shared" si="0"/>
        <v>0.20540618399999999</v>
      </c>
      <c r="I15" s="52">
        <f t="shared" si="0"/>
        <v>0.20540618399999999</v>
      </c>
      <c r="J15" s="52">
        <f t="shared" si="0"/>
        <v>0.20540618399999999</v>
      </c>
      <c r="K15" s="52">
        <f t="shared" si="0"/>
        <v>0.20540618399999999</v>
      </c>
      <c r="L15" s="52">
        <f t="shared" si="0"/>
        <v>0.18331307700000002</v>
      </c>
      <c r="M15" s="52">
        <f t="shared" si="0"/>
        <v>0.18331307700000002</v>
      </c>
      <c r="N15" s="52">
        <f t="shared" si="0"/>
        <v>0.18331307700000002</v>
      </c>
      <c r="O15" s="52">
        <f t="shared" si="0"/>
        <v>0.18331307700000002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Roua8sJBHrclIMEkkseuInbnMwUSmha+iF8Hezr4mCXD4Y9M5SCzcv/4IStrOtT4HB7SgScNFRWVZrIhBMfQA==" saltValue="yy8MXBGlXqEBxV9Td0vm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0.59449800000000008</v>
      </c>
      <c r="D2" s="53">
        <v>0.29309990000000002</v>
      </c>
      <c r="E2" s="53"/>
      <c r="F2" s="53"/>
      <c r="G2" s="53"/>
    </row>
    <row r="3" spans="1:7" x14ac:dyDescent="0.25">
      <c r="B3" s="3" t="s">
        <v>127</v>
      </c>
      <c r="C3" s="53">
        <v>9.7630759999999997E-2</v>
      </c>
      <c r="D3" s="53">
        <v>0.23736940000000001</v>
      </c>
      <c r="E3" s="53"/>
      <c r="F3" s="53"/>
      <c r="G3" s="53"/>
    </row>
    <row r="4" spans="1:7" x14ac:dyDescent="0.25">
      <c r="B4" s="3" t="s">
        <v>126</v>
      </c>
      <c r="C4" s="53">
        <v>0.25931979999999999</v>
      </c>
      <c r="D4" s="53">
        <v>0.4031151</v>
      </c>
      <c r="E4" s="53">
        <v>0.74230986833572399</v>
      </c>
      <c r="F4" s="53">
        <v>0.37930190563201899</v>
      </c>
      <c r="G4" s="53"/>
    </row>
    <row r="5" spans="1:7" x14ac:dyDescent="0.25">
      <c r="B5" s="3" t="s">
        <v>125</v>
      </c>
      <c r="C5" s="52">
        <v>4.8551450000000003E-2</v>
      </c>
      <c r="D5" s="52">
        <v>6.6415580000000002E-2</v>
      </c>
      <c r="E5" s="52">
        <f>1-SUM(E2:E4)</f>
        <v>0.25769013166427601</v>
      </c>
      <c r="F5" s="52">
        <f>1-SUM(F2:F4)</f>
        <v>0.62069809436798096</v>
      </c>
      <c r="G5" s="52">
        <f>1-SUM(G2:G4)</f>
        <v>1</v>
      </c>
    </row>
  </sheetData>
  <sheetProtection algorithmName="SHA-512" hashValue="k8s42XU6QvCeR3A86If71xpOg/u3w1T5Y+30M2x+8X4CkZkDMqdwzaq8pT9tlsbxgBDMmkhwiZJNQIuRrQbUSg==" saltValue="fYRTFyqQQKhR6MfIGoizD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YME0YI/DlB4fx2y+PjaMLcQre0pmOB6pZCJYL0urALGjNj+XUP3fLk1CZhEyibifn0ZIKJKwJQRy4e9jFi1WOQ==" saltValue="aYkLZMMe4UAQswu67UdS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OpJRTXZ1Wsp0joX4IALX9nQSXMgnqho2Z8PfF9JVvDRYbZPz14KCpRL9KEMupO0dhEq8oouv1GZ4eSNBe044Fg==" saltValue="Yq3Cwo2mMUlrXCEV5gD1F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D5bmX9crkLw/T/g/um0aYCV2fgayUlAgd0WjmQEki++zA8Gt61CcInCAewAXhshWSZLL3pcOHIieRkvcvzyX6A==" saltValue="sai6arFLRDCOVrKKpS6RW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PdXZ3TwPrc2CVCfmCg35KCC6L4aN0X7mVpIgNG3aTFtDDAJJZxiedmTS25MDH2T1NeAorT7PcusiVe8OxfjnQ==" saltValue="wAHp+fDsAa12FfErBw9Y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2024-03-15T02:38:17Z</dcterms:modified>
</cp:coreProperties>
</file>