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FEBBA4EB-6655-43DA-9546-98B1EDF1320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F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G17" i="26" l="1"/>
  <c r="A37" i="2"/>
  <c r="A13" i="2"/>
  <c r="A21" i="2"/>
  <c r="I40" i="2"/>
  <c r="E10" i="26"/>
  <c r="A29" i="2"/>
  <c r="F12" i="26"/>
  <c r="A14" i="2"/>
  <c r="A22" i="2"/>
  <c r="A30" i="2"/>
  <c r="A38" i="2"/>
  <c r="A40" i="2"/>
  <c r="D10" i="26"/>
  <c r="G12" i="26"/>
  <c r="E19" i="26"/>
  <c r="A15" i="2"/>
  <c r="A31" i="2"/>
  <c r="A23" i="2"/>
  <c r="A3" i="2"/>
  <c r="A16" i="2"/>
  <c r="A24" i="2"/>
  <c r="A32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<sst xmlns="http://schemas.openxmlformats.org/spreadsheetml/2006/main" count="2092" uniqueCount="337">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</sst>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14594900.25</v>
      </c>
    </row>
    <row r="8" spans="1:3" ht="15" customHeight="1" x14ac:dyDescent="0.25">
      <c r="B8" s="5" t="s">
        <v>19</v>
      </c>
      <c r="C8" s="44">
        <v>0.14799999999999999</v>
      </c>
    </row>
    <row r="9" spans="1:3" ht="15" customHeight="1" x14ac:dyDescent="0.25">
      <c r="B9" s="5" t="s">
        <v>20</v>
      </c>
      <c r="C9" s="45">
        <v>0.48840000000000011</v>
      </c>
    </row>
    <row r="10" spans="1:3" ht="15" customHeight="1" x14ac:dyDescent="0.25">
      <c r="B10" s="5" t="s">
        <v>21</v>
      </c>
      <c r="C10" s="45">
        <v>0.66547080993652297</v>
      </c>
    </row>
    <row r="11" spans="1:3" ht="15" customHeight="1" x14ac:dyDescent="0.25">
      <c r="B11" s="5" t="s">
        <v>22</v>
      </c>
      <c r="C11" s="45">
        <v>0.37200000000000011</v>
      </c>
    </row>
    <row r="12" spans="1:3" ht="15" customHeight="1" x14ac:dyDescent="0.25">
      <c r="B12" s="5" t="s">
        <v>23</v>
      </c>
      <c r="C12" s="45">
        <v>0.42</v>
      </c>
    </row>
    <row r="13" spans="1:3" ht="15" customHeight="1" x14ac:dyDescent="0.25">
      <c r="B13" s="5" t="s">
        <v>24</v>
      </c>
      <c r="C13" s="45">
        <v>0.27500000000000002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0.20180000000000001</v>
      </c>
    </row>
    <row r="24" spans="1:3" ht="15" customHeight="1" x14ac:dyDescent="0.25">
      <c r="B24" s="15" t="s">
        <v>33</v>
      </c>
      <c r="C24" s="45">
        <v>0.58740000000000003</v>
      </c>
    </row>
    <row r="25" spans="1:3" ht="15" customHeight="1" x14ac:dyDescent="0.25">
      <c r="B25" s="15" t="s">
        <v>34</v>
      </c>
      <c r="C25" s="45">
        <v>0.18479999999999999</v>
      </c>
    </row>
    <row r="26" spans="1:3" ht="15" customHeight="1" x14ac:dyDescent="0.25">
      <c r="B26" s="15" t="s">
        <v>35</v>
      </c>
      <c r="C26" s="45">
        <v>2.5999999999999999E-2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0.38987578633119002</v>
      </c>
    </row>
    <row r="30" spans="1:3" ht="14.25" customHeight="1" x14ac:dyDescent="0.25">
      <c r="B30" s="25" t="s">
        <v>38</v>
      </c>
      <c r="C30" s="99">
        <v>2.7039962042163201E-2</v>
      </c>
    </row>
    <row r="31" spans="1:3" ht="14.25" customHeight="1" x14ac:dyDescent="0.25">
      <c r="B31" s="25" t="s">
        <v>39</v>
      </c>
      <c r="C31" s="99">
        <v>4.1943115383355399E-2</v>
      </c>
    </row>
    <row r="32" spans="1:3" ht="14.25" customHeight="1" x14ac:dyDescent="0.25">
      <c r="B32" s="25" t="s">
        <v>40</v>
      </c>
      <c r="C32" s="99">
        <v>0.54114113624329097</v>
      </c>
    </row>
    <row r="33" spans="1:5" ht="13" customHeight="1" x14ac:dyDescent="0.25">
      <c r="B33" s="27" t="s">
        <v>41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19.064532494067901</v>
      </c>
    </row>
    <row r="38" spans="1:5" ht="15" customHeight="1" x14ac:dyDescent="0.25">
      <c r="B38" s="11" t="s">
        <v>45</v>
      </c>
      <c r="C38" s="43">
        <v>25.589660577717499</v>
      </c>
      <c r="D38" s="12"/>
      <c r="E38" s="13"/>
    </row>
    <row r="39" spans="1:5" ht="15" customHeight="1" x14ac:dyDescent="0.25">
      <c r="B39" s="11" t="s">
        <v>46</v>
      </c>
      <c r="C39" s="43">
        <v>30.753859981991901</v>
      </c>
      <c r="D39" s="12"/>
      <c r="E39" s="12"/>
    </row>
    <row r="40" spans="1:5" ht="15" customHeight="1" x14ac:dyDescent="0.25">
      <c r="B40" s="11" t="s">
        <v>47</v>
      </c>
      <c r="C40" s="100">
        <v>1.73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24.283189400000001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2.3352000000000001E-2</v>
      </c>
      <c r="D45" s="12"/>
    </row>
    <row r="46" spans="1:5" ht="15.75" customHeight="1" x14ac:dyDescent="0.25">
      <c r="B46" s="11" t="s">
        <v>52</v>
      </c>
      <c r="C46" s="45">
        <v>0.1540832</v>
      </c>
      <c r="D46" s="12"/>
    </row>
    <row r="47" spans="1:5" ht="15.75" customHeight="1" x14ac:dyDescent="0.25">
      <c r="B47" s="11" t="s">
        <v>53</v>
      </c>
      <c r="C47" s="45">
        <v>0.34354990000000002</v>
      </c>
      <c r="D47" s="12"/>
      <c r="E47" s="13"/>
    </row>
    <row r="48" spans="1:5" ht="15" customHeight="1" x14ac:dyDescent="0.25">
      <c r="B48" s="11" t="s">
        <v>54</v>
      </c>
      <c r="C48" s="46">
        <v>0.47901490000000002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2.4</v>
      </c>
      <c r="D51" s="12"/>
    </row>
    <row r="52" spans="1:4" ht="15" customHeight="1" x14ac:dyDescent="0.25">
      <c r="B52" s="11" t="s">
        <v>57</v>
      </c>
      <c r="C52" s="100">
        <v>2.4</v>
      </c>
    </row>
    <row r="53" spans="1:4" ht="15.75" customHeight="1" x14ac:dyDescent="0.25">
      <c r="B53" s="11" t="s">
        <v>58</v>
      </c>
      <c r="C53" s="100">
        <v>2.4</v>
      </c>
    </row>
    <row r="54" spans="1:4" ht="15.75" customHeight="1" x14ac:dyDescent="0.25">
      <c r="B54" s="11" t="s">
        <v>59</v>
      </c>
      <c r="C54" s="100">
        <v>2.4</v>
      </c>
    </row>
    <row r="55" spans="1:4" ht="15.75" customHeight="1" x14ac:dyDescent="0.25">
      <c r="B55" s="11" t="s">
        <v>60</v>
      </c>
      <c r="C55" s="100">
        <v>2.4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2.1666666666666671E-2</v>
      </c>
    </row>
    <row r="59" spans="1:4" ht="15.75" customHeight="1" x14ac:dyDescent="0.25">
      <c r="B59" s="11" t="s">
        <v>63</v>
      </c>
      <c r="C59" s="45">
        <v>0.48978300000000002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0.27809780000000001</v>
      </c>
    </row>
    <row r="63" spans="1:4" ht="15.75" customHeight="1" x14ac:dyDescent="0.3">
      <c r="A63" s="4"/>
    </row>
  </sheetData>
  <sheetProtection algorithmName="SHA-512" hashValue="G+xnJhRpAwK6GpeD0s66ipt3oC9ctNjG+F1WdR0kdXhdotvdLlyU9a7tbI8inhiyTU5TaMNZ8tIXAV0lcYqLzg==" saltValue="xRjPb8gewLkbcFEGaD/T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0.21814445003833299</v>
      </c>
      <c r="C2" s="98">
        <v>0.95</v>
      </c>
      <c r="D2" s="56">
        <v>40.263780634947473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42.574020447454849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135.8779028845432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0.28463353307878098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13.591732347475441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13.591732347475441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13.591732347475441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13.591732347475441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13.591732347475441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13.591732347475441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0.33132871592733198</v>
      </c>
      <c r="C16" s="98">
        <v>0.95</v>
      </c>
      <c r="D16" s="56">
        <v>0.33097508532551267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3.2163028334016039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3.2163028334016039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0.4919498444</v>
      </c>
      <c r="C21" s="98">
        <v>0.95</v>
      </c>
      <c r="D21" s="56">
        <v>2.626153737244413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23.22190166838157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6.1071805950000002E-2</v>
      </c>
      <c r="C23" s="98">
        <v>0.95</v>
      </c>
      <c r="D23" s="56">
        <v>4.4935547009666941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0.374323912647746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0.195494891600906</v>
      </c>
      <c r="C27" s="98">
        <v>0.95</v>
      </c>
      <c r="D27" s="56">
        <v>19.59004600780592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0.7235809326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73.100645834826111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2.8E-3</v>
      </c>
      <c r="C31" s="98">
        <v>0.95</v>
      </c>
      <c r="D31" s="56">
        <v>2.265403049085001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0.59965789999999997</v>
      </c>
      <c r="C32" s="98">
        <v>0.95</v>
      </c>
      <c r="D32" s="56">
        <v>0.66493210580190532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0.48233242717701902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0.4358744812</v>
      </c>
      <c r="C38" s="98">
        <v>0.95</v>
      </c>
      <c r="D38" s="56">
        <v>1.6048641310337011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0.33847408289999997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4iPqJBL5cc2H+8A77cZz3DT6/Y6DDbt1RLERyDK80HoILInfZ7ekKU/RyNDrekETZFC6WiUw9EEzEHRK/Ci2rg==" saltValue="eu8oTBt3oWAlv86WnrTH4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l1DF4uLwh/1EhiW7Kb3rfrrCJEXBJpgtN+xMM7OP7M2X/5BSAKEnPaEvtj+KjHn4ZTpxwB2tNcMLIOFbA/G83A==" saltValue="HJ87cHUi8cPzoJznOoX0M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JPziWC9DahuUrhfKxRSTX2SkXAcen/dnxtmCxL+9HWL2yb3cfwoKqeABOtj24u3WiLuBCHfN09SOZDSClaH3rA==" saltValue="oqv7WuVEn1uc2rer6kWzx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5">
      <c r="A3" s="3" t="s">
        <v>209</v>
      </c>
      <c r="B3" s="21">
        <f>frac_mam_1month * 2.6</f>
        <v>0.14729653380000002</v>
      </c>
      <c r="C3" s="21">
        <f>frac_mam_1_5months * 2.6</f>
        <v>0.14729653380000002</v>
      </c>
      <c r="D3" s="21">
        <f>frac_mam_6_11months * 2.6</f>
        <v>0.2025573316</v>
      </c>
      <c r="E3" s="21">
        <f>frac_mam_12_23months * 2.6</f>
        <v>0.21930009140000001</v>
      </c>
      <c r="F3" s="21">
        <f>frac_mam_24_59months * 2.6</f>
        <v>0.19680614459999998</v>
      </c>
    </row>
    <row r="4" spans="1:6" ht="15.75" customHeight="1" x14ac:dyDescent="0.25">
      <c r="A4" s="3" t="s">
        <v>208</v>
      </c>
      <c r="B4" s="21">
        <f>frac_sam_1month * 2.6</f>
        <v>0.10318519380000001</v>
      </c>
      <c r="C4" s="21">
        <f>frac_sam_1_5months * 2.6</f>
        <v>0.10318519380000001</v>
      </c>
      <c r="D4" s="21">
        <f>frac_sam_6_11months * 2.6</f>
        <v>6.2587140200000002E-2</v>
      </c>
      <c r="E4" s="21">
        <f>frac_sam_12_23months * 2.6</f>
        <v>6.2025571400000007E-2</v>
      </c>
      <c r="F4" s="21">
        <f>frac_sam_24_59months * 2.6</f>
        <v>4.9381911800000004E-2</v>
      </c>
    </row>
  </sheetData>
  <sheetProtection algorithmName="SHA-512" hashValue="fvWWH/ViGJipS+LlzaoscWBUnGJyfZQwPjwHkWiPbUvkailirS2fBTcHLvLE9RxqpjtQw86z3qemyCcYjmfhZg==" saltValue="OmTXs+N+yxQXyZNwXGin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0.14799999999999999</v>
      </c>
      <c r="E2" s="60">
        <f>food_insecure</f>
        <v>0.14799999999999999</v>
      </c>
      <c r="F2" s="60">
        <f>food_insecure</f>
        <v>0.14799999999999999</v>
      </c>
      <c r="G2" s="60">
        <f>food_insecure</f>
        <v>0.14799999999999999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0.14799999999999999</v>
      </c>
      <c r="F5" s="60">
        <f>food_insecure</f>
        <v>0.14799999999999999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0.14799999999999999</v>
      </c>
      <c r="F8" s="60">
        <f>food_insecure</f>
        <v>0.14799999999999999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0.14799999999999999</v>
      </c>
      <c r="F9" s="60">
        <f>food_insecure</f>
        <v>0.14799999999999999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0.42</v>
      </c>
      <c r="E10" s="60">
        <f>IF(ISBLANK(comm_deliv), frac_children_health_facility,1)</f>
        <v>0.42</v>
      </c>
      <c r="F10" s="60">
        <f>IF(ISBLANK(comm_deliv), frac_children_health_facility,1)</f>
        <v>0.42</v>
      </c>
      <c r="G10" s="60">
        <f>IF(ISBLANK(comm_deliv), frac_children_health_facility,1)</f>
        <v>0.42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0.14799999999999999</v>
      </c>
      <c r="I15" s="60">
        <f>food_insecure</f>
        <v>0.14799999999999999</v>
      </c>
      <c r="J15" s="60">
        <f>food_insecure</f>
        <v>0.14799999999999999</v>
      </c>
      <c r="K15" s="60">
        <f>food_insecure</f>
        <v>0.14799999999999999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0.37200000000000011</v>
      </c>
      <c r="I18" s="60">
        <f>frac_PW_health_facility</f>
        <v>0.37200000000000011</v>
      </c>
      <c r="J18" s="60">
        <f>frac_PW_health_facility</f>
        <v>0.37200000000000011</v>
      </c>
      <c r="K18" s="60">
        <f>frac_PW_health_facility</f>
        <v>0.37200000000000011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0.48840000000000011</v>
      </c>
      <c r="I19" s="60">
        <f>frac_malaria_risk</f>
        <v>0.48840000000000011</v>
      </c>
      <c r="J19" s="60">
        <f>frac_malaria_risk</f>
        <v>0.48840000000000011</v>
      </c>
      <c r="K19" s="60">
        <f>frac_malaria_risk</f>
        <v>0.48840000000000011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0.27500000000000002</v>
      </c>
      <c r="M24" s="60">
        <f>famplan_unmet_need</f>
        <v>0.27500000000000002</v>
      </c>
      <c r="N24" s="60">
        <f>famplan_unmet_need</f>
        <v>0.27500000000000002</v>
      </c>
      <c r="O24" s="60">
        <f>famplan_unmet_need</f>
        <v>0.27500000000000002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0.17431647035827658</v>
      </c>
      <c r="M25" s="60">
        <f>(1-food_insecure)*(0.49)+food_insecure*(0.7)</f>
        <v>0.52107999999999999</v>
      </c>
      <c r="N25" s="60">
        <f>(1-food_insecure)*(0.49)+food_insecure*(0.7)</f>
        <v>0.52107999999999999</v>
      </c>
      <c r="O25" s="60">
        <f>(1-food_insecure)*(0.49)+food_insecure*(0.7)</f>
        <v>0.52107999999999999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7.4707058724975683E-2</v>
      </c>
      <c r="M26" s="60">
        <f>(1-food_insecure)*(0.21)+food_insecure*(0.3)</f>
        <v>0.22331999999999999</v>
      </c>
      <c r="N26" s="60">
        <f>(1-food_insecure)*(0.21)+food_insecure*(0.3)</f>
        <v>0.22331999999999999</v>
      </c>
      <c r="O26" s="60">
        <f>(1-food_insecure)*(0.21)+food_insecure*(0.3)</f>
        <v>0.22331999999999999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8.5505660980224732E-2</v>
      </c>
      <c r="M27" s="60">
        <f>(1-food_insecure)*(0.3)</f>
        <v>0.25559999999999999</v>
      </c>
      <c r="N27" s="60">
        <f>(1-food_insecure)*(0.3)</f>
        <v>0.25559999999999999</v>
      </c>
      <c r="O27" s="60">
        <f>(1-food_insecure)*(0.3)</f>
        <v>0.25559999999999999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0.66547080993652297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0.48840000000000011</v>
      </c>
      <c r="D34" s="60">
        <f t="shared" si="3"/>
        <v>0.48840000000000011</v>
      </c>
      <c r="E34" s="60">
        <f t="shared" si="3"/>
        <v>0.48840000000000011</v>
      </c>
      <c r="F34" s="60">
        <f t="shared" si="3"/>
        <v>0.48840000000000011</v>
      </c>
      <c r="G34" s="60">
        <f t="shared" si="3"/>
        <v>0.48840000000000011</v>
      </c>
      <c r="H34" s="60">
        <f t="shared" si="3"/>
        <v>0.48840000000000011</v>
      </c>
      <c r="I34" s="60">
        <f t="shared" si="3"/>
        <v>0.48840000000000011</v>
      </c>
      <c r="J34" s="60">
        <f t="shared" si="3"/>
        <v>0.48840000000000011</v>
      </c>
      <c r="K34" s="60">
        <f t="shared" si="3"/>
        <v>0.48840000000000011</v>
      </c>
      <c r="L34" s="60">
        <f t="shared" si="3"/>
        <v>0.48840000000000011</v>
      </c>
      <c r="M34" s="60">
        <f t="shared" si="3"/>
        <v>0.48840000000000011</v>
      </c>
      <c r="N34" s="60">
        <f t="shared" si="3"/>
        <v>0.48840000000000011</v>
      </c>
      <c r="O34" s="60">
        <f t="shared" si="3"/>
        <v>0.48840000000000011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hLPU+IvEtA9W8EpCL/SHZuSP3y9mpgGDmjkO15vOaIMj+tTRJxeEaxgsjzNfzIcIAP47XYNCxzJucxbJFBM54Q==" saltValue="FHD9oH6KUGhbv6byeZlsk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2awCXOIC7bpbr1A/o7j85DmuzPJbra9HOL4z33m8NMQazlEhg36URRw561GQ/hSeb1LQhiraPgxi8XzSlYRg+w==" saltValue="CW1h8qfW52TM9IndhgGp1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/t75P3KofFD/S7TVHwQz5DnsQjj4dEpcDSHkslAob1gPYwb6OY9k6dmJxKWmpxA8QE0n0DYjKvuKY1vmsoFAA==" saltValue="AyhiXoBwoCcyEYaTKQ9p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1ZyAIa+lI32fHOXdpp0ZmfI9C1EdW2FZtxJy+WpgC2/pvFc4Z7frusf07i/fu1vuF7IwJVbA7KGvygg7o8gXQ==" saltValue="8jQloEO7hcNQCxQ96ZOw+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8pkpmRPLrV6gt0wHsgnOS3u2zF5lfoCTjHWbXhikVVkJSWqR2SQ95StnZXDHL50yrRor1GscEtsB1tgNKpVL1w==" saltValue="qU4mmZxKep2hAs3bdOBAw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3orlsAZZQHwyAiNqJDHj1ImNj2lFWTi6w4xJ2mruaw/qND7Fn/zt2DovYuNi0Y9+u3TSOLOCMUxq+dIJ0Hvnkg==" saltValue="tFGvv6pnpJPoPXAXY+145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2961256.2</v>
      </c>
      <c r="C2" s="49">
        <v>7834000</v>
      </c>
      <c r="D2" s="49">
        <v>15207000</v>
      </c>
      <c r="E2" s="49">
        <v>14040000</v>
      </c>
      <c r="F2" s="49">
        <v>10982000</v>
      </c>
      <c r="G2" s="17">
        <f t="shared" ref="G2:G11" si="0">C2+D2+E2+F2</f>
        <v>48063000</v>
      </c>
      <c r="H2" s="17">
        <f t="shared" ref="H2:H11" si="1">(B2 + stillbirth*B2/(1000-stillbirth))/(1-abortion)</f>
        <v>3448812.019101195</v>
      </c>
      <c r="I2" s="17">
        <f t="shared" ref="I2:I11" si="2">G2-H2</f>
        <v>44614187.980898805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2933044.1364000002</v>
      </c>
      <c r="C3" s="50">
        <v>7762000</v>
      </c>
      <c r="D3" s="50">
        <v>15285000</v>
      </c>
      <c r="E3" s="50">
        <v>14153000</v>
      </c>
      <c r="F3" s="50">
        <v>11331000</v>
      </c>
      <c r="G3" s="17">
        <f t="shared" si="0"/>
        <v>48531000</v>
      </c>
      <c r="H3" s="17">
        <f t="shared" si="1"/>
        <v>3415954.9822709034</v>
      </c>
      <c r="I3" s="17">
        <f t="shared" si="2"/>
        <v>45115045.017729096</v>
      </c>
    </row>
    <row r="4" spans="1:9" ht="15.75" customHeight="1" x14ac:dyDescent="0.25">
      <c r="A4" s="5">
        <f t="shared" si="3"/>
        <v>2023</v>
      </c>
      <c r="B4" s="49">
        <v>2903490.3908000002</v>
      </c>
      <c r="C4" s="50">
        <v>7676000</v>
      </c>
      <c r="D4" s="50">
        <v>15358000</v>
      </c>
      <c r="E4" s="50">
        <v>14249000</v>
      </c>
      <c r="F4" s="50">
        <v>11689000</v>
      </c>
      <c r="G4" s="17">
        <f t="shared" si="0"/>
        <v>48972000</v>
      </c>
      <c r="H4" s="17">
        <f t="shared" si="1"/>
        <v>3381535.3623019392</v>
      </c>
      <c r="I4" s="17">
        <f t="shared" si="2"/>
        <v>45590464.637698062</v>
      </c>
    </row>
    <row r="5" spans="1:9" ht="15.75" customHeight="1" x14ac:dyDescent="0.25">
      <c r="A5" s="5">
        <f t="shared" si="3"/>
        <v>2024</v>
      </c>
      <c r="B5" s="49">
        <v>2872232.0172000001</v>
      </c>
      <c r="C5" s="50">
        <v>7591000</v>
      </c>
      <c r="D5" s="50">
        <v>15405000</v>
      </c>
      <c r="E5" s="50">
        <v>14334000</v>
      </c>
      <c r="F5" s="50">
        <v>12032000</v>
      </c>
      <c r="G5" s="17">
        <f t="shared" si="0"/>
        <v>49362000</v>
      </c>
      <c r="H5" s="17">
        <f t="shared" si="1"/>
        <v>3345130.4559756191</v>
      </c>
      <c r="I5" s="17">
        <f t="shared" si="2"/>
        <v>46016869.544024378</v>
      </c>
    </row>
    <row r="6" spans="1:9" ht="15.75" customHeight="1" x14ac:dyDescent="0.25">
      <c r="A6" s="5">
        <f t="shared" si="3"/>
        <v>2025</v>
      </c>
      <c r="B6" s="49">
        <v>2839016.5380000002</v>
      </c>
      <c r="C6" s="50">
        <v>7516000</v>
      </c>
      <c r="D6" s="50">
        <v>15417000</v>
      </c>
      <c r="E6" s="50">
        <v>14417000</v>
      </c>
      <c r="F6" s="50">
        <v>12341000</v>
      </c>
      <c r="G6" s="17">
        <f t="shared" si="0"/>
        <v>49691000</v>
      </c>
      <c r="H6" s="17">
        <f t="shared" si="1"/>
        <v>3306446.2165352199</v>
      </c>
      <c r="I6" s="17">
        <f t="shared" si="2"/>
        <v>46384553.783464782</v>
      </c>
    </row>
    <row r="7" spans="1:9" ht="15.75" customHeight="1" x14ac:dyDescent="0.25">
      <c r="A7" s="5">
        <f t="shared" si="3"/>
        <v>2026</v>
      </c>
      <c r="B7" s="49">
        <v>2809397.9920000001</v>
      </c>
      <c r="C7" s="50">
        <v>7455000</v>
      </c>
      <c r="D7" s="50">
        <v>15411000</v>
      </c>
      <c r="E7" s="50">
        <v>14500000</v>
      </c>
      <c r="F7" s="50">
        <v>12618000</v>
      </c>
      <c r="G7" s="17">
        <f t="shared" si="0"/>
        <v>49984000</v>
      </c>
      <c r="H7" s="17">
        <f t="shared" si="1"/>
        <v>3271951.1271089483</v>
      </c>
      <c r="I7" s="17">
        <f t="shared" si="2"/>
        <v>46712048.872891054</v>
      </c>
    </row>
    <row r="8" spans="1:9" ht="15.75" customHeight="1" x14ac:dyDescent="0.25">
      <c r="A8" s="5">
        <f t="shared" si="3"/>
        <v>2027</v>
      </c>
      <c r="B8" s="49">
        <v>2777965.2540000002</v>
      </c>
      <c r="C8" s="50">
        <v>7400000</v>
      </c>
      <c r="D8" s="50">
        <v>15375000</v>
      </c>
      <c r="E8" s="50">
        <v>14577000</v>
      </c>
      <c r="F8" s="50">
        <v>12861000</v>
      </c>
      <c r="G8" s="17">
        <f t="shared" si="0"/>
        <v>50213000</v>
      </c>
      <c r="H8" s="17">
        <f t="shared" si="1"/>
        <v>3235343.1481682346</v>
      </c>
      <c r="I8" s="17">
        <f t="shared" si="2"/>
        <v>46977656.851831764</v>
      </c>
    </row>
    <row r="9" spans="1:9" ht="15.75" customHeight="1" x14ac:dyDescent="0.25">
      <c r="A9" s="5">
        <f t="shared" si="3"/>
        <v>2028</v>
      </c>
      <c r="B9" s="49">
        <v>2744784.41</v>
      </c>
      <c r="C9" s="50">
        <v>7352000</v>
      </c>
      <c r="D9" s="50">
        <v>15308000</v>
      </c>
      <c r="E9" s="50">
        <v>14650000</v>
      </c>
      <c r="F9" s="50">
        <v>13073000</v>
      </c>
      <c r="G9" s="17">
        <f t="shared" si="0"/>
        <v>50383000</v>
      </c>
      <c r="H9" s="17">
        <f t="shared" si="1"/>
        <v>3196699.2464379072</v>
      </c>
      <c r="I9" s="17">
        <f t="shared" si="2"/>
        <v>47186300.753562093</v>
      </c>
    </row>
    <row r="10" spans="1:9" ht="15.75" customHeight="1" x14ac:dyDescent="0.25">
      <c r="A10" s="5">
        <f t="shared" si="3"/>
        <v>2029</v>
      </c>
      <c r="B10" s="49">
        <v>2709935.04</v>
      </c>
      <c r="C10" s="50">
        <v>7308000</v>
      </c>
      <c r="D10" s="50">
        <v>15220000</v>
      </c>
      <c r="E10" s="50">
        <v>14722000</v>
      </c>
      <c r="F10" s="50">
        <v>13259000</v>
      </c>
      <c r="G10" s="17">
        <f t="shared" si="0"/>
        <v>50509000</v>
      </c>
      <c r="H10" s="17">
        <f t="shared" si="1"/>
        <v>3156112.1043614787</v>
      </c>
      <c r="I10" s="17">
        <f t="shared" si="2"/>
        <v>47352887.895638518</v>
      </c>
    </row>
    <row r="11" spans="1:9" ht="15.75" customHeight="1" x14ac:dyDescent="0.25">
      <c r="A11" s="5">
        <f t="shared" si="3"/>
        <v>2030</v>
      </c>
      <c r="B11" s="49">
        <v>2673537.5099999998</v>
      </c>
      <c r="C11" s="50">
        <v>7266000</v>
      </c>
      <c r="D11" s="50">
        <v>15116000</v>
      </c>
      <c r="E11" s="50">
        <v>14794000</v>
      </c>
      <c r="F11" s="50">
        <v>13422000</v>
      </c>
      <c r="G11" s="17">
        <f t="shared" si="0"/>
        <v>50598000</v>
      </c>
      <c r="H11" s="17">
        <f t="shared" si="1"/>
        <v>3113721.9055905663</v>
      </c>
      <c r="I11" s="17">
        <f t="shared" si="2"/>
        <v>47484278.094409436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R7QkDHG3/pO1Hz4W0Ini6MibDtjO41K6DVCEq/c++A9cdsXwy0hSixrOedRXN/2j/3+ozcMrnSt3NgZilLwDw==" saltValue="63j/nK1eD+XMg0X3FqNUI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4.5383736623683859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4.5383736623683859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2.3988036731585312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2.3988036731585312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3.3378540269219696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3.3378540269219696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1.9242095697654582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1.9242095697654582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5.8652637857565306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5.8652637857565306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2.9233550505929804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2.9233550505929804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mpoXvzz76qLxnFeJVVdLt5IONB+xR7RLGFXylObebzpOkjkgGhhB2gf3KPswTwdSDBhyS+Z87RcMnrpWTulU3w==" saltValue="GEhd7UurPfkhe9ONagV1W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HlOJ1x0E6C/wQmel0po6odIzGOKnu5xaZcV5Klm8GQgNGpZVOTidlpCXJD4T0qSIp2NizmFvnQyvL+01c2pI7A==" saltValue="CHC8LFskQvuoShOVUkmA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EuNU63WlAO8MRoUfULq+XCKwR0MDBAcR6UcBND3ADkEUfL5imQydc45ASr2VlF+932x5pJxrXKlMnqtF5tdh4g==" saltValue="8zCH6fr5hBbHX5B7LMWHz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0.59146580980921082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0.59146580980921082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0.8565706585434979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0.8565706585434979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0.8565706585434979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0.8565706585434979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0.39019373641866062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0.39019373641866062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0.82189877613046902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0.82189877613046902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0.82189877613046902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0.82189877613046902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0.90352424073120186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0.90352424073120186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0.89170719015216637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0.89170719015216637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0.89170719015216637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0.89170719015216637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7maTg86u/MxY5CY58O136EXlTt9mqcU8QO4DUu0vxv3fDQqhvWRkNh1Pf0/GBUN/7QZ2tlU2TGjdLSf4Jua7g==" saltValue="9SKID3Ij77AuXF846JY+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VxHlyobobo+2WAyIdrVptItSAh9RZ+R507Gb28RuehHxT0OB5viybcrGBSqGxZYQxecfEb6CyMviuIZHhzWa5w==" saltValue="scBUeO55a1p0Ugu26hUmA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0.36467909499667855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0.55221218150589724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0.55221218150589724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0.58268749254799079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0.58268749254799079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0.58268749254799079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0.58268749254799079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0.60832587287376894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0.60832587287376894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0.60832587287376894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0.60832587287376894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0.4717103187954364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0.65733615375915255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0.65733615375915255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0.68474148802017643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0.68474148802017643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0.68474148802017643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0.68474148802017643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0.70725995316159251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0.70725995316159251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0.70725995316159251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0.70725995316159251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0.20763648014363384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0.36019771720420102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0.36019771720420102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0.38928865404529883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0.38928865404529883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0.38928865404529883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0.38928865404529883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0.41487737865065638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0.41487737865065638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0.41487737865065638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0.41487737865065638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0.34247678279389837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0.52808269205099823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0.52808269205099823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0.5588883987648875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0.5588883987648875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0.5588883987648875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0.5588883987648875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0.58494742667404542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0.58494742667404542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0.58494742667404542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0.58494742667404542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0.87831019703386803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0.93941727289532861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0.93941727289532861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0.94611197930699975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0.94611197930699975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0.94611197930699975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0.94611197930699975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0.95128921218419171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0.95128921218419171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0.95128921218419171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0.95128921218419171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0.71965944360162515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0.84651151867952712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0.84651151867952712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0.86196424874042377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0.86196424874042377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0.86196424874042377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0.86196424874042377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0.87415051598288451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0.87415051598288451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0.87415051598288451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0.87415051598288451</v>
      </c>
    </row>
  </sheetData>
  <sheetProtection algorithmName="SHA-512" hashValue="cIQNIemQ2A4LxFrVsUK/aXny01zxR/gIKSJDrxzsU9B5UgcjjXUZJbn1tHSy1KF0ZgCiiv/nuxsR2IrR4DPPEQ==" saltValue="THBpGfN2B3YLfzFGVJTH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0.85505288432673576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0.85704046599145745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0.85706757689043722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0.85767526536784433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0.85282969168781164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0.84994645241190792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0.84905046447451016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0.8502517775063364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0.76954759589406219</v>
      </c>
      <c r="E10" s="90">
        <f>E3*0.9</f>
        <v>0.77133641939231168</v>
      </c>
      <c r="F10" s="90">
        <f>F3*0.9</f>
        <v>0.77136081920139354</v>
      </c>
      <c r="G10" s="90">
        <f>G3*0.9</f>
        <v>0.7719077388310599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0.76754672251903044</v>
      </c>
      <c r="E12" s="90">
        <f>E5*0.9</f>
        <v>0.76495180717071709</v>
      </c>
      <c r="F12" s="90">
        <f>F5*0.9</f>
        <v>0.76414541802705915</v>
      </c>
      <c r="G12" s="90">
        <f>G5*0.9</f>
        <v>0.76522659975570273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0.89780552854307261</v>
      </c>
      <c r="E17" s="90">
        <f>E3*1.05</f>
        <v>0.89989248929103038</v>
      </c>
      <c r="F17" s="90">
        <f>F3*1.05</f>
        <v>0.89992095573495912</v>
      </c>
      <c r="G17" s="90">
        <f>G3*1.05</f>
        <v>0.9005590286362366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0.8954711762722023</v>
      </c>
      <c r="E19" s="90">
        <f>E5*1.05</f>
        <v>0.89244377503250338</v>
      </c>
      <c r="F19" s="90">
        <f>F5*1.05</f>
        <v>0.89150298769823566</v>
      </c>
      <c r="G19" s="90">
        <f>G5*1.05</f>
        <v>0.89276436638165324</v>
      </c>
    </row>
  </sheetData>
  <sheetProtection algorithmName="SHA-512" hashValue="vmWomb32ujEbFImu2gnnaekGumujakOjUgby2Ok9dF5a2MVZjDO27i/xNM+kCZAXOFaljak2HJrPTG1cbrNsgQ==" saltValue="ZzxAgqCLsN1UJC3pG+Rse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gSOQFHd+tMLFyCBFYmW8VLrG4Alb1YfHMx6DhA/+z1tjUolaS3GFBbwE811psFpwdKylUWbSw/HC0gWO42VeUQ==" saltValue="Ek0LUUdB1tBprqVU2fPU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ClQwmQjBTkOOSQimEJD6E87snh5KiGLndDC/o9IKKEaOxALNMBSKZ7Vx/xU6R7dLU1SMEWfPExQ0RRpj3r+NuQ==" saltValue="kI8H+tSsP/QgoAfFanT1r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6.3281360202937162E-3</v>
      </c>
    </row>
    <row r="4" spans="1:8" ht="15.75" customHeight="1" x14ac:dyDescent="0.25">
      <c r="B4" s="19" t="s">
        <v>79</v>
      </c>
      <c r="C4" s="101">
        <v>0.1981033690979761</v>
      </c>
    </row>
    <row r="5" spans="1:8" ht="15.75" customHeight="1" x14ac:dyDescent="0.25">
      <c r="B5" s="19" t="s">
        <v>80</v>
      </c>
      <c r="C5" s="101">
        <v>6.0132523355607398E-2</v>
      </c>
    </row>
    <row r="6" spans="1:8" ht="15.75" customHeight="1" x14ac:dyDescent="0.25">
      <c r="B6" s="19" t="s">
        <v>81</v>
      </c>
      <c r="C6" s="101">
        <v>0.22738585541647399</v>
      </c>
    </row>
    <row r="7" spans="1:8" ht="15.75" customHeight="1" x14ac:dyDescent="0.25">
      <c r="B7" s="19" t="s">
        <v>82</v>
      </c>
      <c r="C7" s="101">
        <v>0.29836097591134458</v>
      </c>
    </row>
    <row r="8" spans="1:8" ht="15.75" customHeight="1" x14ac:dyDescent="0.25">
      <c r="B8" s="19" t="s">
        <v>83</v>
      </c>
      <c r="C8" s="101">
        <v>4.111318591134114E-3</v>
      </c>
    </row>
    <row r="9" spans="1:8" ht="15.75" customHeight="1" x14ac:dyDescent="0.25">
      <c r="B9" s="19" t="s">
        <v>84</v>
      </c>
      <c r="C9" s="101">
        <v>0.12918622985515199</v>
      </c>
    </row>
    <row r="10" spans="1:8" ht="15.75" customHeight="1" x14ac:dyDescent="0.25">
      <c r="B10" s="19" t="s">
        <v>85</v>
      </c>
      <c r="C10" s="101">
        <v>7.6391591752018165E-2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0.16124302819795369</v>
      </c>
      <c r="D14" s="55">
        <v>0.16124302819795369</v>
      </c>
      <c r="E14" s="55">
        <v>0.16124302819795369</v>
      </c>
      <c r="F14" s="55">
        <v>0.16124302819795369</v>
      </c>
    </row>
    <row r="15" spans="1:8" ht="15.75" customHeight="1" x14ac:dyDescent="0.25">
      <c r="B15" s="19" t="s">
        <v>88</v>
      </c>
      <c r="C15" s="101">
        <v>0.22920942958277449</v>
      </c>
      <c r="D15" s="101">
        <v>0.22920942958277449</v>
      </c>
      <c r="E15" s="101">
        <v>0.22920942958277449</v>
      </c>
      <c r="F15" s="101">
        <v>0.22920942958277449</v>
      </c>
    </row>
    <row r="16" spans="1:8" ht="15.75" customHeight="1" x14ac:dyDescent="0.25">
      <c r="B16" s="19" t="s">
        <v>89</v>
      </c>
      <c r="C16" s="101">
        <v>2.0141002716283649E-2</v>
      </c>
      <c r="D16" s="101">
        <v>2.0141002716283649E-2</v>
      </c>
      <c r="E16" s="101">
        <v>2.0141002716283649E-2</v>
      </c>
      <c r="F16" s="101">
        <v>2.0141002716283649E-2</v>
      </c>
    </row>
    <row r="17" spans="1:8" ht="15.75" customHeight="1" x14ac:dyDescent="0.25">
      <c r="B17" s="19" t="s">
        <v>90</v>
      </c>
      <c r="C17" s="101">
        <v>4.3467211807431301E-2</v>
      </c>
      <c r="D17" s="101">
        <v>4.3467211807431301E-2</v>
      </c>
      <c r="E17" s="101">
        <v>4.3467211807431301E-2</v>
      </c>
      <c r="F17" s="101">
        <v>4.3467211807431301E-2</v>
      </c>
    </row>
    <row r="18" spans="1:8" ht="15.75" customHeight="1" x14ac:dyDescent="0.25">
      <c r="B18" s="19" t="s">
        <v>91</v>
      </c>
      <c r="C18" s="101">
        <v>2.2299007696520739E-5</v>
      </c>
      <c r="D18" s="101">
        <v>2.2299007696520739E-5</v>
      </c>
      <c r="E18" s="101">
        <v>2.2299007696520739E-5</v>
      </c>
      <c r="F18" s="101">
        <v>2.2299007696520739E-5</v>
      </c>
    </row>
    <row r="19" spans="1:8" ht="15.75" customHeight="1" x14ac:dyDescent="0.25">
      <c r="B19" s="19" t="s">
        <v>92</v>
      </c>
      <c r="C19" s="101">
        <v>1.46332389810382E-2</v>
      </c>
      <c r="D19" s="101">
        <v>1.46332389810382E-2</v>
      </c>
      <c r="E19" s="101">
        <v>1.46332389810382E-2</v>
      </c>
      <c r="F19" s="101">
        <v>1.46332389810382E-2</v>
      </c>
    </row>
    <row r="20" spans="1:8" ht="15.75" customHeight="1" x14ac:dyDescent="0.25">
      <c r="B20" s="19" t="s">
        <v>93</v>
      </c>
      <c r="C20" s="101">
        <v>5.2230130931349102E-4</v>
      </c>
      <c r="D20" s="101">
        <v>5.2230130931349102E-4</v>
      </c>
      <c r="E20" s="101">
        <v>5.2230130931349102E-4</v>
      </c>
      <c r="F20" s="101">
        <v>5.2230130931349102E-4</v>
      </c>
    </row>
    <row r="21" spans="1:8" ht="15.75" customHeight="1" x14ac:dyDescent="0.25">
      <c r="B21" s="19" t="s">
        <v>94</v>
      </c>
      <c r="C21" s="101">
        <v>0.1669393632383378</v>
      </c>
      <c r="D21" s="101">
        <v>0.1669393632383378</v>
      </c>
      <c r="E21" s="101">
        <v>0.1669393632383378</v>
      </c>
      <c r="F21" s="101">
        <v>0.1669393632383378</v>
      </c>
    </row>
    <row r="22" spans="1:8" ht="15.75" customHeight="1" x14ac:dyDescent="0.25">
      <c r="B22" s="19" t="s">
        <v>95</v>
      </c>
      <c r="C22" s="101">
        <v>0.36382212515917078</v>
      </c>
      <c r="D22" s="101">
        <v>0.36382212515917078</v>
      </c>
      <c r="E22" s="101">
        <v>0.36382212515917078</v>
      </c>
      <c r="F22" s="101">
        <v>0.36382212515917078</v>
      </c>
    </row>
    <row r="23" spans="1:8" ht="15.75" customHeight="1" x14ac:dyDescent="0.25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2.5897033999999999E-2</v>
      </c>
    </row>
    <row r="27" spans="1:8" ht="15.75" customHeight="1" x14ac:dyDescent="0.25">
      <c r="B27" s="19" t="s">
        <v>102</v>
      </c>
      <c r="C27" s="101">
        <v>7.1412350000000001E-3</v>
      </c>
    </row>
    <row r="28" spans="1:8" ht="15.75" customHeight="1" x14ac:dyDescent="0.25">
      <c r="B28" s="19" t="s">
        <v>103</v>
      </c>
      <c r="C28" s="101">
        <v>0.25594161900000001</v>
      </c>
    </row>
    <row r="29" spans="1:8" ht="15.75" customHeight="1" x14ac:dyDescent="0.25">
      <c r="B29" s="19" t="s">
        <v>104</v>
      </c>
      <c r="C29" s="101">
        <v>0.146367004</v>
      </c>
    </row>
    <row r="30" spans="1:8" ht="15.75" customHeight="1" x14ac:dyDescent="0.25">
      <c r="B30" s="19" t="s">
        <v>2</v>
      </c>
      <c r="C30" s="101">
        <v>1.7554395E-2</v>
      </c>
    </row>
    <row r="31" spans="1:8" ht="15.75" customHeight="1" x14ac:dyDescent="0.25">
      <c r="B31" s="19" t="s">
        <v>105</v>
      </c>
      <c r="C31" s="101">
        <v>1.8078031000000001E-2</v>
      </c>
    </row>
    <row r="32" spans="1:8" ht="15.75" customHeight="1" x14ac:dyDescent="0.25">
      <c r="B32" s="19" t="s">
        <v>106</v>
      </c>
      <c r="C32" s="101">
        <v>1.1440346000000001E-2</v>
      </c>
    </row>
    <row r="33" spans="2:3" ht="15.75" customHeight="1" x14ac:dyDescent="0.25">
      <c r="B33" s="19" t="s">
        <v>107</v>
      </c>
      <c r="C33" s="101">
        <v>0.15128762500000001</v>
      </c>
    </row>
    <row r="34" spans="2:3" ht="15.75" customHeight="1" x14ac:dyDescent="0.25">
      <c r="B34" s="19" t="s">
        <v>108</v>
      </c>
      <c r="C34" s="101">
        <v>0.36629271099999999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1vNOcsfdmrJHjpxUCrA9BvjbcU7UPkOcmrs4C7/k8xyI//mMZ52KC1DtLZAOvJSLiTysQoxJ786xjxNY4lMotA==" saltValue="LMrjIljNJSbzoYJHlc01n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0.46203656946918281</v>
      </c>
      <c r="D2" s="52">
        <f>IFERROR(1-_xlfn.NORM.DIST(_xlfn.NORM.INV(SUM(D4:D5), 0, 1) + 1, 0, 1, TRUE), "")</f>
        <v>0.46203656946918281</v>
      </c>
      <c r="E2" s="52">
        <f>IFERROR(1-_xlfn.NORM.DIST(_xlfn.NORM.INV(SUM(E4:E5), 0, 1) + 1, 0, 1, TRUE), "")</f>
        <v>0.45784262062456105</v>
      </c>
      <c r="F2" s="52">
        <f>IFERROR(1-_xlfn.NORM.DIST(_xlfn.NORM.INV(SUM(F4:F5), 0, 1) + 1, 0, 1, TRUE), "")</f>
        <v>0.31468418097849937</v>
      </c>
      <c r="G2" s="52">
        <f>IFERROR(1-_xlfn.NORM.DIST(_xlfn.NORM.INV(SUM(G4:G5), 0, 1) + 1, 0, 1, TRUE), "")</f>
        <v>0.31330368226672967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0.35515012453081718</v>
      </c>
      <c r="D3" s="52">
        <f>IFERROR(_xlfn.NORM.DIST(_xlfn.NORM.INV(SUM(D4:D5), 0, 1) + 1, 0, 1, TRUE) - SUM(D4:D5), "")</f>
        <v>0.35515012453081718</v>
      </c>
      <c r="E3" s="52">
        <f>IFERROR(_xlfn.NORM.DIST(_xlfn.NORM.INV(SUM(E4:E5), 0, 1) + 1, 0, 1, TRUE) - SUM(E4:E5), "")</f>
        <v>0.35653112337543896</v>
      </c>
      <c r="F3" s="52">
        <f>IFERROR(_xlfn.NORM.DIST(_xlfn.NORM.INV(SUM(F4:F5), 0, 1) + 1, 0, 1, TRUE) - SUM(F4:F5), "")</f>
        <v>0.38287172902150063</v>
      </c>
      <c r="G3" s="52">
        <f>IFERROR(_xlfn.NORM.DIST(_xlfn.NORM.INV(SUM(G4:G5), 0, 1) + 1, 0, 1, TRUE) - SUM(G4:G5), "")</f>
        <v>0.3828928777332703</v>
      </c>
    </row>
    <row r="4" spans="1:15" ht="15.75" customHeight="1" x14ac:dyDescent="0.25">
      <c r="B4" s="5" t="s">
        <v>114</v>
      </c>
      <c r="C4" s="45">
        <v>0.11231308</v>
      </c>
      <c r="D4" s="53">
        <v>0.11231308</v>
      </c>
      <c r="E4" s="53">
        <v>0.12641575999999999</v>
      </c>
      <c r="F4" s="53">
        <v>0.20125182999999999</v>
      </c>
      <c r="G4" s="53">
        <v>0.21233894</v>
      </c>
    </row>
    <row r="5" spans="1:15" ht="15.75" customHeight="1" x14ac:dyDescent="0.25">
      <c r="B5" s="5" t="s">
        <v>115</v>
      </c>
      <c r="C5" s="45">
        <v>7.0500225999999999E-2</v>
      </c>
      <c r="D5" s="53">
        <v>7.0500225999999999E-2</v>
      </c>
      <c r="E5" s="53">
        <v>5.9210496000000001E-2</v>
      </c>
      <c r="F5" s="53">
        <v>0.10119226000000001</v>
      </c>
      <c r="G5" s="53">
        <v>9.1464500000000004E-2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0.61893957960300694</v>
      </c>
      <c r="D8" s="52">
        <f>IFERROR(1-_xlfn.NORM.DIST(_xlfn.NORM.INV(SUM(D10:D11), 0, 1) + 1, 0, 1, TRUE), "")</f>
        <v>0.61893957960300694</v>
      </c>
      <c r="E8" s="52">
        <f>IFERROR(1-_xlfn.NORM.DIST(_xlfn.NORM.INV(SUM(E10:E11), 0, 1) + 1, 0, 1, TRUE), "")</f>
        <v>0.60655741458430334</v>
      </c>
      <c r="F8" s="52">
        <f>IFERROR(1-_xlfn.NORM.DIST(_xlfn.NORM.INV(SUM(F10:F11), 0, 1) + 1, 0, 1, TRUE), "")</f>
        <v>0.5933402501477445</v>
      </c>
      <c r="G8" s="52">
        <f>IFERROR(1-_xlfn.NORM.DIST(_xlfn.NORM.INV(SUM(G10:G11), 0, 1) + 1, 0, 1, TRUE), "")</f>
        <v>0.62264274241169248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0.28472129439699306</v>
      </c>
      <c r="D9" s="52">
        <f>IFERROR(_xlfn.NORM.DIST(_xlfn.NORM.INV(SUM(D10:D11), 0, 1) + 1, 0, 1, TRUE) - SUM(D10:D11), "")</f>
        <v>0.28472129439699306</v>
      </c>
      <c r="E9" s="52">
        <f>IFERROR(_xlfn.NORM.DIST(_xlfn.NORM.INV(SUM(E10:E11), 0, 1) + 1, 0, 1, TRUE) - SUM(E10:E11), "")</f>
        <v>0.29146394241569673</v>
      </c>
      <c r="F9" s="52">
        <f>IFERROR(_xlfn.NORM.DIST(_xlfn.NORM.INV(SUM(F10:F11), 0, 1) + 1, 0, 1, TRUE) - SUM(F10:F11), "")</f>
        <v>0.29845757185225552</v>
      </c>
      <c r="G9" s="52">
        <f>IFERROR(_xlfn.NORM.DIST(_xlfn.NORM.INV(SUM(G10:G11), 0, 1) + 1, 0, 1, TRUE) - SUM(G10:G11), "")</f>
        <v>0.28266954358830759</v>
      </c>
    </row>
    <row r="10" spans="1:15" ht="15.75" customHeight="1" x14ac:dyDescent="0.25">
      <c r="B10" s="5" t="s">
        <v>119</v>
      </c>
      <c r="C10" s="45">
        <v>5.6652513000000002E-2</v>
      </c>
      <c r="D10" s="53">
        <v>5.6652513000000002E-2</v>
      </c>
      <c r="E10" s="53">
        <v>7.7906665999999999E-2</v>
      </c>
      <c r="F10" s="53">
        <v>8.4346189000000002E-2</v>
      </c>
      <c r="G10" s="53">
        <v>7.5694670999999991E-2</v>
      </c>
    </row>
    <row r="11" spans="1:15" ht="15.75" customHeight="1" x14ac:dyDescent="0.25">
      <c r="B11" s="5" t="s">
        <v>120</v>
      </c>
      <c r="C11" s="45">
        <v>3.9686613000000003E-2</v>
      </c>
      <c r="D11" s="53">
        <v>3.9686613000000003E-2</v>
      </c>
      <c r="E11" s="53">
        <v>2.4071977000000001E-2</v>
      </c>
      <c r="F11" s="53">
        <v>2.3855989000000001E-2</v>
      </c>
      <c r="G11" s="53">
        <v>1.8993043000000001E-2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0.80099784150000009</v>
      </c>
      <c r="D14" s="54">
        <v>0.77677478115800003</v>
      </c>
      <c r="E14" s="54">
        <v>0.77677478115800003</v>
      </c>
      <c r="F14" s="54">
        <v>0.52042201054299997</v>
      </c>
      <c r="G14" s="54">
        <v>0.52042201054299997</v>
      </c>
      <c r="H14" s="45">
        <v>0.45700000000000002</v>
      </c>
      <c r="I14" s="55">
        <v>0.45700000000000002</v>
      </c>
      <c r="J14" s="55">
        <v>0.45700000000000002</v>
      </c>
      <c r="K14" s="55">
        <v>0.45700000000000002</v>
      </c>
      <c r="L14" s="45">
        <v>0.39600000000000002</v>
      </c>
      <c r="M14" s="55">
        <v>0.39600000000000002</v>
      </c>
      <c r="N14" s="55">
        <v>0.39600000000000002</v>
      </c>
      <c r="O14" s="55">
        <v>0.39600000000000002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0.39231512580339456</v>
      </c>
      <c r="D15" s="52">
        <f t="shared" si="0"/>
        <v>0.38045108263990873</v>
      </c>
      <c r="E15" s="52">
        <f t="shared" si="0"/>
        <v>0.38045108263990873</v>
      </c>
      <c r="F15" s="52">
        <f t="shared" si="0"/>
        <v>0.25489385358978217</v>
      </c>
      <c r="G15" s="52">
        <f t="shared" si="0"/>
        <v>0.25489385358978217</v>
      </c>
      <c r="H15" s="52">
        <f t="shared" si="0"/>
        <v>0.22383083100000001</v>
      </c>
      <c r="I15" s="52">
        <f t="shared" si="0"/>
        <v>0.22383083100000001</v>
      </c>
      <c r="J15" s="52">
        <f t="shared" si="0"/>
        <v>0.22383083100000001</v>
      </c>
      <c r="K15" s="52">
        <f t="shared" si="0"/>
        <v>0.22383083100000001</v>
      </c>
      <c r="L15" s="52">
        <f t="shared" si="0"/>
        <v>0.19395406800000001</v>
      </c>
      <c r="M15" s="52">
        <f t="shared" si="0"/>
        <v>0.19395406800000001</v>
      </c>
      <c r="N15" s="52">
        <f t="shared" si="0"/>
        <v>0.19395406800000001</v>
      </c>
      <c r="O15" s="52">
        <f t="shared" si="0"/>
        <v>0.19395406800000001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mJieckDwUy52O4owVAhgRQDZ7PI9q4pwNccQSbtTV8JrGkkXzURGf+EwHzSDxK9ekReU6BGNj9sfylk9kGqK9g==" saltValue="OSCnc629AMXZkbVdizo4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0.84173520000000002</v>
      </c>
      <c r="D2" s="53">
        <v>0.59965789999999997</v>
      </c>
      <c r="E2" s="53"/>
      <c r="F2" s="53"/>
      <c r="G2" s="53"/>
    </row>
    <row r="3" spans="1:7" x14ac:dyDescent="0.25">
      <c r="B3" s="3" t="s">
        <v>130</v>
      </c>
      <c r="C3" s="53">
        <v>3.667517E-2</v>
      </c>
      <c r="D3" s="53">
        <v>0.10847759999999999</v>
      </c>
      <c r="E3" s="53"/>
      <c r="F3" s="53"/>
      <c r="G3" s="53"/>
    </row>
    <row r="4" spans="1:7" x14ac:dyDescent="0.25">
      <c r="B4" s="3" t="s">
        <v>131</v>
      </c>
      <c r="C4" s="53">
        <v>0.1179703</v>
      </c>
      <c r="D4" s="53">
        <v>0.26914159999999998</v>
      </c>
      <c r="E4" s="53">
        <v>0.96415919065475508</v>
      </c>
      <c r="F4" s="53">
        <v>0.91956740617752109</v>
      </c>
      <c r="G4" s="53"/>
    </row>
    <row r="5" spans="1:7" x14ac:dyDescent="0.25">
      <c r="B5" s="3" t="s">
        <v>132</v>
      </c>
      <c r="C5" s="52">
        <v>3.619377E-3</v>
      </c>
      <c r="D5" s="52">
        <v>2.2722840000000001E-2</v>
      </c>
      <c r="E5" s="52">
        <f>1-SUM(E2:E4)</f>
        <v>3.5840809345244917E-2</v>
      </c>
      <c r="F5" s="52">
        <f>1-SUM(F2:F4)</f>
        <v>8.0432593822478915E-2</v>
      </c>
      <c r="G5" s="52">
        <f>1-SUM(G2:G4)</f>
        <v>1</v>
      </c>
    </row>
  </sheetData>
  <sheetProtection algorithmName="SHA-512" hashValue="pqFh3D4GGp8/bZ5hnAEfHQILgPKd9mY9PRQFkKQJE03ZwdbANO8FOdT8r+UOowJIBFiebLnbYkEGhL4ZhtxMMQ==" saltValue="VK2onp30npcgPValgOosk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B5QDNzAB+bvWeCKKZZNG9FBPfBu3uLzJ2QWLylXG1XFOQx8e69AyGLmxPbJigKSUUzzbaFWpxVI0/UHLDOACQ==" saltValue="YOKC+zUUXYQ6dSW9k4AIX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FNn0Utz9GyZ55vfDVGmj3YVbA8caXt6/62Rwl+6AKhXBNNp/inGPT0u6EaBOpt4aKyXax58TiZ5LaRYCuMqnIQ==" saltValue="ucCFKNG2jLPax7INyPrrx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f1HUgKh88E9jK2nXOpxpn3QrVyPIlEIFRwCn3jXoNW5+A4D9MWUXXU2aWuAMSoEqQGJnd419SShKiqJGZFP8rQ==" saltValue="OXCxsc5E7Ik+bQfZFypXV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F6K3xwYvqEIdUKrySz6pTVY9UYE4iR09rU5Jc5GHvPNJIaE9JxNlrb1RHDpbWuhW1T31WiQeWD3hzlzYQ4sYbQ==" saltValue="zOIq4Z2LkNcqiL/wm+XnX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2024-03-15T02:46:19Z</dcterms:modified>
</cp:coreProperties>
</file>