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fr\LiST countries\"/>
    </mc:Choice>
  </mc:AlternateContent>
  <xr:revisionPtr revIDLastSave="0" documentId="8_{97BE51C9-483D-4093-A66F-8F5E77630D96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C19" i="26"/>
  <c r="C17" i="26"/>
  <c r="C12" i="26"/>
  <c r="C10" i="26"/>
  <c r="G5" i="26"/>
  <c r="G19" i="26" s="1"/>
  <c r="F5" i="26"/>
  <c r="F12" i="26" s="1"/>
  <c r="E5" i="26"/>
  <c r="E12" i="26" s="1"/>
  <c r="D5" i="26"/>
  <c r="D12" i="26" s="1"/>
  <c r="G3" i="26"/>
  <c r="G17" i="26" s="1"/>
  <c r="F3" i="26"/>
  <c r="F17" i="26" s="1"/>
  <c r="E3" i="26"/>
  <c r="E17" i="26" s="1"/>
  <c r="D3" i="26"/>
  <c r="D17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I39" i="2"/>
  <c r="H39" i="2"/>
  <c r="G39" i="2"/>
  <c r="H38" i="2"/>
  <c r="G38" i="2"/>
  <c r="I38" i="2" s="1"/>
  <c r="A37" i="2"/>
  <c r="A18" i="2"/>
  <c r="A15" i="2"/>
  <c r="H11" i="2"/>
  <c r="I11" i="2" s="1"/>
  <c r="G11" i="2"/>
  <c r="H10" i="2"/>
  <c r="G10" i="2"/>
  <c r="I10" i="2" s="1"/>
  <c r="H9" i="2"/>
  <c r="I9" i="2" s="1"/>
  <c r="G9" i="2"/>
  <c r="H8" i="2"/>
  <c r="G8" i="2"/>
  <c r="H7" i="2"/>
  <c r="I7" i="2" s="1"/>
  <c r="G7" i="2"/>
  <c r="H6" i="2"/>
  <c r="G6" i="2"/>
  <c r="I6" i="2" s="1"/>
  <c r="H5" i="2"/>
  <c r="I5" i="2" s="1"/>
  <c r="G5" i="2"/>
  <c r="H4" i="2"/>
  <c r="G4" i="2"/>
  <c r="H3" i="2"/>
  <c r="G3" i="2"/>
  <c r="H2" i="2"/>
  <c r="G2" i="2"/>
  <c r="I2" i="2" s="1"/>
  <c r="A2" i="2"/>
  <c r="A36" i="2" s="1"/>
  <c r="C33" i="1"/>
  <c r="C20" i="1"/>
  <c r="A23" i="2" l="1"/>
  <c r="A26" i="2"/>
  <c r="F19" i="26"/>
  <c r="I3" i="2"/>
  <c r="A29" i="2"/>
  <c r="E10" i="26"/>
  <c r="A21" i="2"/>
  <c r="D19" i="26"/>
  <c r="A39" i="2"/>
  <c r="A31" i="2"/>
  <c r="I4" i="2"/>
  <c r="I8" i="2"/>
  <c r="A13" i="2"/>
  <c r="A34" i="2"/>
  <c r="I40" i="2"/>
  <c r="A14" i="2"/>
  <c r="A22" i="2"/>
  <c r="A30" i="2"/>
  <c r="A38" i="2"/>
  <c r="A40" i="2"/>
  <c r="D10" i="26"/>
  <c r="G12" i="26"/>
  <c r="E19" i="26"/>
  <c r="A3" i="2"/>
  <c r="A4" i="2" s="1"/>
  <c r="A5" i="2" s="1"/>
  <c r="A6" i="2" s="1"/>
  <c r="A7" i="2" s="1"/>
  <c r="A8" i="2" s="1"/>
  <c r="A9" i="2" s="1"/>
  <c r="A10" i="2" s="1"/>
  <c r="A11" i="2" s="1"/>
  <c r="A16" i="2"/>
  <c r="A24" i="2"/>
  <c r="A32" i="2"/>
  <c r="F10" i="26"/>
  <c r="A17" i="2"/>
  <c r="A25" i="2"/>
  <c r="A33" i="2"/>
  <c r="G10" i="26"/>
  <c r="A19" i="2"/>
  <c r="A27" i="2"/>
  <c r="A35" i="2"/>
  <c r="A12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<sst xmlns="http://schemas.openxmlformats.org/spreadsheetml/2006/main" count="2092" uniqueCount="337">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</sst>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13</v>
      </c>
      <c r="B1" s="29" t="s">
        <v>0</v>
      </c>
      <c r="C1" s="29" t="s">
        <v>66</v>
      </c>
    </row>
    <row r="2" spans="1:3" ht="15.9" customHeight="1" x14ac:dyDescent="0.3">
      <c r="A2" s="8" t="s">
        <v>14</v>
      </c>
      <c r="B2" s="29"/>
      <c r="C2" s="29"/>
    </row>
    <row r="3" spans="1:3" ht="15.9" customHeight="1" x14ac:dyDescent="0.3">
      <c r="A3" s="1"/>
      <c r="B3" s="5" t="s">
        <v>15</v>
      </c>
      <c r="C3" s="41">
        <v>2021</v>
      </c>
    </row>
    <row r="4" spans="1:3" ht="15.9" customHeight="1" x14ac:dyDescent="0.3">
      <c r="A4" s="1"/>
      <c r="B4" s="5" t="s">
        <v>16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17</v>
      </c>
    </row>
    <row r="7" spans="1:3" ht="15" customHeight="1" x14ac:dyDescent="0.25">
      <c r="B7" s="11" t="s">
        <v>18</v>
      </c>
      <c r="C7" s="43">
        <v>37089.825927734397</v>
      </c>
    </row>
    <row r="8" spans="1:3" ht="15" customHeight="1" x14ac:dyDescent="0.25">
      <c r="B8" s="5" t="s">
        <v>19</v>
      </c>
      <c r="C8" s="44">
        <v>0.13900000000000001</v>
      </c>
    </row>
    <row r="9" spans="1:3" ht="15" customHeight="1" x14ac:dyDescent="0.25">
      <c r="B9" s="5" t="s">
        <v>20</v>
      </c>
      <c r="C9" s="45">
        <v>0.01</v>
      </c>
    </row>
    <row r="10" spans="1:3" ht="15" customHeight="1" x14ac:dyDescent="0.25">
      <c r="B10" s="5" t="s">
        <v>21</v>
      </c>
      <c r="C10" s="45">
        <v>0.72714500427246098</v>
      </c>
    </row>
    <row r="11" spans="1:3" ht="15" customHeight="1" x14ac:dyDescent="0.25">
      <c r="B11" s="5" t="s">
        <v>22</v>
      </c>
      <c r="C11" s="45">
        <v>0.92599999999999993</v>
      </c>
    </row>
    <row r="12" spans="1:3" ht="15" customHeight="1" x14ac:dyDescent="0.25">
      <c r="B12" s="5" t="s">
        <v>23</v>
      </c>
      <c r="C12" s="45">
        <v>0.67400000000000004</v>
      </c>
    </row>
    <row r="13" spans="1:3" ht="15" customHeight="1" x14ac:dyDescent="0.25">
      <c r="B13" s="5" t="s">
        <v>24</v>
      </c>
      <c r="C13" s="45">
        <v>0.34100000000000003</v>
      </c>
    </row>
    <row r="14" spans="1:3" ht="15" customHeight="1" x14ac:dyDescent="0.25">
      <c r="B14" s="8"/>
    </row>
    <row r="15" spans="1:3" ht="15" customHeight="1" x14ac:dyDescent="0.3">
      <c r="A15" s="8" t="s">
        <v>25</v>
      </c>
      <c r="B15" s="14"/>
      <c r="C15" s="3"/>
    </row>
    <row r="16" spans="1:3" ht="15" customHeight="1" x14ac:dyDescent="0.25">
      <c r="B16" s="5" t="s">
        <v>26</v>
      </c>
      <c r="C16" s="45">
        <v>0.1</v>
      </c>
    </row>
    <row r="17" spans="1:3" ht="15" customHeight="1" x14ac:dyDescent="0.25">
      <c r="B17" s="5" t="s">
        <v>27</v>
      </c>
      <c r="C17" s="45">
        <v>0.7</v>
      </c>
    </row>
    <row r="18" spans="1:3" ht="15" customHeight="1" x14ac:dyDescent="0.25">
      <c r="B18" s="5" t="s">
        <v>28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30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31</v>
      </c>
    </row>
    <row r="23" spans="1:3" ht="15" customHeight="1" x14ac:dyDescent="0.25">
      <c r="B23" s="15" t="s">
        <v>32</v>
      </c>
      <c r="C23" s="45">
        <v>0.1298</v>
      </c>
    </row>
    <row r="24" spans="1:3" ht="15" customHeight="1" x14ac:dyDescent="0.25">
      <c r="B24" s="15" t="s">
        <v>33</v>
      </c>
      <c r="C24" s="45">
        <v>0.56009999999999993</v>
      </c>
    </row>
    <row r="25" spans="1:3" ht="15" customHeight="1" x14ac:dyDescent="0.25">
      <c r="B25" s="15" t="s">
        <v>34</v>
      </c>
      <c r="C25" s="45">
        <v>0.27879999999999999</v>
      </c>
    </row>
    <row r="26" spans="1:3" ht="15" customHeight="1" x14ac:dyDescent="0.25">
      <c r="B26" s="15" t="s">
        <v>35</v>
      </c>
      <c r="C26" s="45">
        <v>3.1300000000000001E-2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36</v>
      </c>
      <c r="B28" s="15"/>
      <c r="C28" s="15"/>
    </row>
    <row r="29" spans="1:3" ht="14.25" customHeight="1" x14ac:dyDescent="0.25">
      <c r="B29" s="25" t="s">
        <v>37</v>
      </c>
      <c r="C29" s="45">
        <v>0.29181609532021502</v>
      </c>
    </row>
    <row r="30" spans="1:3" ht="14.25" customHeight="1" x14ac:dyDescent="0.25">
      <c r="B30" s="25" t="s">
        <v>38</v>
      </c>
      <c r="C30" s="99">
        <v>5.8372304444056097E-2</v>
      </c>
    </row>
    <row r="31" spans="1:3" ht="14.25" customHeight="1" x14ac:dyDescent="0.25">
      <c r="B31" s="25" t="s">
        <v>39</v>
      </c>
      <c r="C31" s="99">
        <v>0.119823270172546</v>
      </c>
    </row>
    <row r="32" spans="1:3" ht="14.25" customHeight="1" x14ac:dyDescent="0.25">
      <c r="B32" s="25" t="s">
        <v>40</v>
      </c>
      <c r="C32" s="99">
        <v>0.52998833006318302</v>
      </c>
    </row>
    <row r="33" spans="1:5" ht="13" customHeight="1" x14ac:dyDescent="0.25">
      <c r="B33" s="27" t="s">
        <v>41</v>
      </c>
      <c r="C33" s="48">
        <f>SUM(C29:C32)</f>
        <v>1.0000000000000002</v>
      </c>
    </row>
    <row r="34" spans="1:5" ht="15" customHeight="1" x14ac:dyDescent="0.25"/>
    <row r="35" spans="1:5" ht="15" customHeight="1" x14ac:dyDescent="0.3">
      <c r="A35" s="4" t="s">
        <v>42</v>
      </c>
    </row>
    <row r="36" spans="1:5" ht="15" customHeight="1" x14ac:dyDescent="0.25">
      <c r="A36" s="8" t="s">
        <v>43</v>
      </c>
      <c r="B36" s="5"/>
    </row>
    <row r="37" spans="1:5" ht="15" customHeight="1" x14ac:dyDescent="0.25">
      <c r="B37" s="11" t="s">
        <v>44</v>
      </c>
      <c r="C37" s="43">
        <v>8.1373987167464108</v>
      </c>
    </row>
    <row r="38" spans="1:5" ht="15" customHeight="1" x14ac:dyDescent="0.25">
      <c r="B38" s="11" t="s">
        <v>45</v>
      </c>
      <c r="C38" s="43">
        <v>10.5892904273596</v>
      </c>
      <c r="D38" s="12"/>
      <c r="E38" s="13"/>
    </row>
    <row r="39" spans="1:5" ht="15" customHeight="1" x14ac:dyDescent="0.25">
      <c r="B39" s="11" t="s">
        <v>46</v>
      </c>
      <c r="C39" s="43">
        <v>12.3058188951809</v>
      </c>
      <c r="D39" s="12"/>
      <c r="E39" s="12"/>
    </row>
    <row r="40" spans="1:5" ht="15" customHeight="1" x14ac:dyDescent="0.25">
      <c r="B40" s="11" t="s">
        <v>47</v>
      </c>
      <c r="C40" s="100">
        <v>0.36</v>
      </c>
    </row>
    <row r="41" spans="1:5" ht="15" customHeight="1" x14ac:dyDescent="0.25">
      <c r="B41" s="11" t="s">
        <v>48</v>
      </c>
      <c r="C41" s="45">
        <v>0.12</v>
      </c>
    </row>
    <row r="42" spans="1:5" ht="15" customHeight="1" x14ac:dyDescent="0.25">
      <c r="B42" s="11" t="s">
        <v>49</v>
      </c>
      <c r="C42" s="43">
        <v>6.5300996180000004</v>
      </c>
    </row>
    <row r="43" spans="1:5" ht="15.75" customHeight="1" x14ac:dyDescent="0.25">
      <c r="D43" s="12"/>
    </row>
    <row r="44" spans="1:5" ht="15.75" customHeight="1" x14ac:dyDescent="0.25">
      <c r="A44" s="8" t="s">
        <v>50</v>
      </c>
      <c r="D44" s="12"/>
    </row>
    <row r="45" spans="1:5" ht="15.75" customHeight="1" x14ac:dyDescent="0.25">
      <c r="B45" s="11" t="s">
        <v>51</v>
      </c>
      <c r="C45" s="45">
        <v>7.6756000000000003E-3</v>
      </c>
      <c r="D45" s="12"/>
    </row>
    <row r="46" spans="1:5" ht="15.75" customHeight="1" x14ac:dyDescent="0.25">
      <c r="B46" s="11" t="s">
        <v>52</v>
      </c>
      <c r="C46" s="45">
        <v>7.7105699999999999E-2</v>
      </c>
      <c r="D46" s="12"/>
    </row>
    <row r="47" spans="1:5" ht="15.75" customHeight="1" x14ac:dyDescent="0.25">
      <c r="B47" s="11" t="s">
        <v>53</v>
      </c>
      <c r="C47" s="45">
        <v>5.8004699999999999E-2</v>
      </c>
      <c r="D47" s="12"/>
      <c r="E47" s="13"/>
    </row>
    <row r="48" spans="1:5" ht="15" customHeight="1" x14ac:dyDescent="0.25">
      <c r="B48" s="11" t="s">
        <v>54</v>
      </c>
      <c r="C48" s="46">
        <v>0.85721400000000003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55</v>
      </c>
      <c r="D50" s="12"/>
    </row>
    <row r="51" spans="1:4" ht="15.75" customHeight="1" x14ac:dyDescent="0.25">
      <c r="B51" s="11" t="s">
        <v>56</v>
      </c>
      <c r="C51" s="100">
        <v>3.2</v>
      </c>
      <c r="D51" s="12"/>
    </row>
    <row r="52" spans="1:4" ht="15" customHeight="1" x14ac:dyDescent="0.25">
      <c r="B52" s="11" t="s">
        <v>57</v>
      </c>
      <c r="C52" s="100">
        <v>3.2</v>
      </c>
    </row>
    <row r="53" spans="1:4" ht="15.75" customHeight="1" x14ac:dyDescent="0.25">
      <c r="B53" s="11" t="s">
        <v>58</v>
      </c>
      <c r="C53" s="100">
        <v>3.2</v>
      </c>
    </row>
    <row r="54" spans="1:4" ht="15.75" customHeight="1" x14ac:dyDescent="0.25">
      <c r="B54" s="11" t="s">
        <v>59</v>
      </c>
      <c r="C54" s="100">
        <v>3.2</v>
      </c>
    </row>
    <row r="55" spans="1:4" ht="15.75" customHeight="1" x14ac:dyDescent="0.25">
      <c r="B55" s="11" t="s">
        <v>60</v>
      </c>
      <c r="C55" s="100">
        <v>3.2</v>
      </c>
    </row>
    <row r="57" spans="1:4" ht="15.75" customHeight="1" x14ac:dyDescent="0.25">
      <c r="A57" s="8" t="s">
        <v>61</v>
      </c>
    </row>
    <row r="58" spans="1:4" ht="15.75" customHeight="1" x14ac:dyDescent="0.25">
      <c r="B58" s="5" t="s">
        <v>62</v>
      </c>
      <c r="C58" s="45">
        <v>1.9375E-2</v>
      </c>
    </row>
    <row r="59" spans="1:4" ht="15.75" customHeight="1" x14ac:dyDescent="0.25">
      <c r="B59" s="11" t="s">
        <v>63</v>
      </c>
      <c r="C59" s="45">
        <v>0.56960999999999995</v>
      </c>
    </row>
    <row r="60" spans="1:4" ht="15.75" customHeight="1" x14ac:dyDescent="0.25">
      <c r="B60" s="11" t="s">
        <v>64</v>
      </c>
      <c r="C60" s="45">
        <v>4.5999999999999999E-2</v>
      </c>
    </row>
    <row r="61" spans="1:4" ht="15.75" customHeight="1" x14ac:dyDescent="0.25">
      <c r="B61" s="11" t="s">
        <v>65</v>
      </c>
      <c r="C61" s="45">
        <v>1.4E-2</v>
      </c>
    </row>
    <row r="62" spans="1:4" ht="15.75" customHeight="1" x14ac:dyDescent="0.25">
      <c r="B62" s="11" t="s">
        <v>67</v>
      </c>
      <c r="C62" s="44">
        <v>8.5988007000000005E-2</v>
      </c>
    </row>
    <row r="63" spans="1:4" ht="15.75" customHeight="1" x14ac:dyDescent="0.3">
      <c r="A63" s="4"/>
    </row>
  </sheetData>
  <sheetProtection algorithmName="SHA-512" hashValue="zrHrxQU41AnUEaMu3V9f/XcH1BlJZm1NNgCFtYvj+F04Fbrwo08QdIadsPNb8Xv1GezCd7EamVhlkIEA0wwseA==" saltValue="WUPa/hLRSaWdmt7eqVacZ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5">
      <c r="A2" s="5">
        <f>start_year</f>
        <v>2021</v>
      </c>
      <c r="B2" s="49">
        <v>8614.5891999999985</v>
      </c>
      <c r="C2" s="49">
        <v>20000</v>
      </c>
      <c r="D2" s="49">
        <v>39000</v>
      </c>
      <c r="E2" s="49">
        <v>32000</v>
      </c>
      <c r="F2" s="49">
        <v>23000</v>
      </c>
      <c r="G2" s="17">
        <f t="shared" ref="G2:G11" si="0">C2+D2+E2+F2</f>
        <v>114000</v>
      </c>
      <c r="H2" s="17">
        <f t="shared" ref="H2:H11" si="1">(B2 + stillbirth*B2/(1000-stillbirth))/(1-abortion)</f>
        <v>9853.6512332450257</v>
      </c>
      <c r="I2" s="17">
        <f t="shared" ref="I2:I11" si="2">G2-H2</f>
        <v>104146.34876675498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8648.6255999999994</v>
      </c>
      <c r="C3" s="50">
        <v>20000</v>
      </c>
      <c r="D3" s="50">
        <v>39000</v>
      </c>
      <c r="E3" s="50">
        <v>32000</v>
      </c>
      <c r="F3" s="50">
        <v>24000</v>
      </c>
      <c r="G3" s="17">
        <f t="shared" si="0"/>
        <v>115000</v>
      </c>
      <c r="H3" s="17">
        <f t="shared" si="1"/>
        <v>9892.5831900741723</v>
      </c>
      <c r="I3" s="17">
        <f t="shared" si="2"/>
        <v>105107.41680992582</v>
      </c>
    </row>
    <row r="4" spans="1:9" ht="15.75" customHeight="1" x14ac:dyDescent="0.25">
      <c r="A4" s="5">
        <f t="shared" si="3"/>
        <v>2023</v>
      </c>
      <c r="B4" s="49">
        <v>8656.8545999999988</v>
      </c>
      <c r="C4" s="50">
        <v>19000</v>
      </c>
      <c r="D4" s="50">
        <v>40000</v>
      </c>
      <c r="E4" s="50">
        <v>34000</v>
      </c>
      <c r="F4" s="50">
        <v>24000</v>
      </c>
      <c r="G4" s="17">
        <f t="shared" si="0"/>
        <v>117000</v>
      </c>
      <c r="H4" s="17">
        <f t="shared" si="1"/>
        <v>9901.9957916638523</v>
      </c>
      <c r="I4" s="17">
        <f t="shared" si="2"/>
        <v>107098.00420833615</v>
      </c>
    </row>
    <row r="5" spans="1:9" ht="15.75" customHeight="1" x14ac:dyDescent="0.25">
      <c r="A5" s="5">
        <f t="shared" si="3"/>
        <v>2024</v>
      </c>
      <c r="B5" s="49">
        <v>8680.7291999999998</v>
      </c>
      <c r="C5" s="50">
        <v>19000</v>
      </c>
      <c r="D5" s="50">
        <v>40000</v>
      </c>
      <c r="E5" s="50">
        <v>34000</v>
      </c>
      <c r="F5" s="50">
        <v>26000</v>
      </c>
      <c r="G5" s="17">
        <f t="shared" si="0"/>
        <v>119000</v>
      </c>
      <c r="H5" s="17">
        <f t="shared" si="1"/>
        <v>9929.3043465202172</v>
      </c>
      <c r="I5" s="17">
        <f t="shared" si="2"/>
        <v>109070.69565347978</v>
      </c>
    </row>
    <row r="6" spans="1:9" ht="15.75" customHeight="1" x14ac:dyDescent="0.25">
      <c r="A6" s="5">
        <f t="shared" si="3"/>
        <v>2025</v>
      </c>
      <c r="B6" s="49">
        <v>8679.4519999999993</v>
      </c>
      <c r="C6" s="50">
        <v>19000</v>
      </c>
      <c r="D6" s="50">
        <v>40000</v>
      </c>
      <c r="E6" s="50">
        <v>36000</v>
      </c>
      <c r="F6" s="50">
        <v>26000</v>
      </c>
      <c r="G6" s="17">
        <f t="shared" si="0"/>
        <v>121000</v>
      </c>
      <c r="H6" s="17">
        <f t="shared" si="1"/>
        <v>9927.843443038586</v>
      </c>
      <c r="I6" s="17">
        <f t="shared" si="2"/>
        <v>111072.15655696142</v>
      </c>
    </row>
    <row r="7" spans="1:9" ht="15.75" customHeight="1" x14ac:dyDescent="0.25">
      <c r="A7" s="5">
        <f t="shared" si="3"/>
        <v>2026</v>
      </c>
      <c r="B7" s="49">
        <v>8679.489599999999</v>
      </c>
      <c r="C7" s="50">
        <v>19000</v>
      </c>
      <c r="D7" s="50">
        <v>41000</v>
      </c>
      <c r="E7" s="50">
        <v>36000</v>
      </c>
      <c r="F7" s="50">
        <v>27000</v>
      </c>
      <c r="G7" s="17">
        <f t="shared" si="0"/>
        <v>123000</v>
      </c>
      <c r="H7" s="17">
        <f t="shared" si="1"/>
        <v>9927.8864511586216</v>
      </c>
      <c r="I7" s="17">
        <f t="shared" si="2"/>
        <v>113072.11354884139</v>
      </c>
    </row>
    <row r="8" spans="1:9" ht="15.75" customHeight="1" x14ac:dyDescent="0.25">
      <c r="A8" s="5">
        <f t="shared" si="3"/>
        <v>2027</v>
      </c>
      <c r="B8" s="49">
        <v>8654.5998</v>
      </c>
      <c r="C8" s="50">
        <v>19000</v>
      </c>
      <c r="D8" s="50">
        <v>41000</v>
      </c>
      <c r="E8" s="50">
        <v>38000</v>
      </c>
      <c r="F8" s="50">
        <v>28000</v>
      </c>
      <c r="G8" s="17">
        <f t="shared" si="0"/>
        <v>126000</v>
      </c>
      <c r="H8" s="17">
        <f t="shared" si="1"/>
        <v>9899.416677061301</v>
      </c>
      <c r="I8" s="17">
        <f t="shared" si="2"/>
        <v>116100.58332293871</v>
      </c>
    </row>
    <row r="9" spans="1:9" ht="15.75" customHeight="1" x14ac:dyDescent="0.25">
      <c r="A9" s="5">
        <f t="shared" si="3"/>
        <v>2028</v>
      </c>
      <c r="B9" s="49">
        <v>8624.6896000000015</v>
      </c>
      <c r="C9" s="50">
        <v>19000</v>
      </c>
      <c r="D9" s="50">
        <v>41000</v>
      </c>
      <c r="E9" s="50">
        <v>38000</v>
      </c>
      <c r="F9" s="50">
        <v>29000</v>
      </c>
      <c r="G9" s="17">
        <f t="shared" si="0"/>
        <v>127000</v>
      </c>
      <c r="H9" s="17">
        <f t="shared" si="1"/>
        <v>9865.20440387286</v>
      </c>
      <c r="I9" s="17">
        <f t="shared" si="2"/>
        <v>117134.79559612714</v>
      </c>
    </row>
    <row r="10" spans="1:9" ht="15.75" customHeight="1" x14ac:dyDescent="0.25">
      <c r="A10" s="5">
        <f t="shared" si="3"/>
        <v>2029</v>
      </c>
      <c r="B10" s="49">
        <v>8608.231600000001</v>
      </c>
      <c r="C10" s="50">
        <v>20000</v>
      </c>
      <c r="D10" s="50">
        <v>41000</v>
      </c>
      <c r="E10" s="50">
        <v>38000</v>
      </c>
      <c r="F10" s="50">
        <v>30000</v>
      </c>
      <c r="G10" s="17">
        <f t="shared" si="0"/>
        <v>129000</v>
      </c>
      <c r="H10" s="17">
        <f t="shared" si="1"/>
        <v>9846.3792006934964</v>
      </c>
      <c r="I10" s="17">
        <f t="shared" si="2"/>
        <v>119153.6207993065</v>
      </c>
    </row>
    <row r="11" spans="1:9" ht="15.75" customHeight="1" x14ac:dyDescent="0.25">
      <c r="A11" s="5">
        <f t="shared" si="3"/>
        <v>2030</v>
      </c>
      <c r="B11" s="49">
        <v>8567.9220000000005</v>
      </c>
      <c r="C11" s="50">
        <v>20000</v>
      </c>
      <c r="D11" s="50">
        <v>40000</v>
      </c>
      <c r="E11" s="50">
        <v>40000</v>
      </c>
      <c r="F11" s="50">
        <v>31000</v>
      </c>
      <c r="G11" s="17">
        <f t="shared" si="0"/>
        <v>131000</v>
      </c>
      <c r="H11" s="17">
        <f t="shared" si="1"/>
        <v>9800.2717508163023</v>
      </c>
      <c r="I11" s="17">
        <f t="shared" si="2"/>
        <v>121199.7282491837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DfarcYv37EWkp1yfhpNHU7BNe0mWLbVPy9HBudSLlGN6/wHaHvjgZeamJ/dShGlo5j4QfdN/Fx30lsRaMEb3oQ==" saltValue="XNUyuerSIdnqX4+Ths0OQw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3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5">
      <c r="B3" s="19" t="s">
        <v>78</v>
      </c>
      <c r="C3" s="55">
        <v>0</v>
      </c>
    </row>
    <row r="4" spans="1:8" ht="15.75" customHeight="1" x14ac:dyDescent="0.25">
      <c r="B4" s="19" t="s">
        <v>79</v>
      </c>
      <c r="C4" s="101">
        <v>9.8596042264915779E-2</v>
      </c>
    </row>
    <row r="5" spans="1:8" ht="15.75" customHeight="1" x14ac:dyDescent="0.25">
      <c r="B5" s="19" t="s">
        <v>80</v>
      </c>
      <c r="C5" s="101">
        <v>3.1972797420602918E-2</v>
      </c>
    </row>
    <row r="6" spans="1:8" ht="15.75" customHeight="1" x14ac:dyDescent="0.25">
      <c r="B6" s="19" t="s">
        <v>81</v>
      </c>
      <c r="C6" s="101">
        <v>0.1456370449712639</v>
      </c>
    </row>
    <row r="7" spans="1:8" ht="15.75" customHeight="1" x14ac:dyDescent="0.25">
      <c r="B7" s="19" t="s">
        <v>82</v>
      </c>
      <c r="C7" s="101">
        <v>0.34646208729211098</v>
      </c>
    </row>
    <row r="8" spans="1:8" ht="15.75" customHeight="1" x14ac:dyDescent="0.25">
      <c r="B8" s="19" t="s">
        <v>83</v>
      </c>
      <c r="C8" s="101">
        <v>0</v>
      </c>
    </row>
    <row r="9" spans="1:8" ht="15.75" customHeight="1" x14ac:dyDescent="0.25">
      <c r="B9" s="19" t="s">
        <v>84</v>
      </c>
      <c r="C9" s="101">
        <v>0.2083301883812648</v>
      </c>
    </row>
    <row r="10" spans="1:8" ht="15.75" customHeight="1" x14ac:dyDescent="0.25">
      <c r="B10" s="19" t="s">
        <v>85</v>
      </c>
      <c r="C10" s="101">
        <v>0.1690018396698417</v>
      </c>
    </row>
    <row r="11" spans="1:8" ht="15.75" customHeight="1" x14ac:dyDescent="0.25">
      <c r="B11" s="27" t="s">
        <v>41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5">
      <c r="B14" s="19" t="s">
        <v>87</v>
      </c>
      <c r="C14" s="55">
        <v>8.8932431893366845E-2</v>
      </c>
      <c r="D14" s="55">
        <v>8.8932431893366845E-2</v>
      </c>
      <c r="E14" s="55">
        <v>8.8932431893366845E-2</v>
      </c>
      <c r="F14" s="55">
        <v>8.8932431893366845E-2</v>
      </c>
    </row>
    <row r="15" spans="1:8" ht="15.75" customHeight="1" x14ac:dyDescent="0.25">
      <c r="B15" s="19" t="s">
        <v>88</v>
      </c>
      <c r="C15" s="101">
        <v>6.9600750193209868E-2</v>
      </c>
      <c r="D15" s="101">
        <v>6.9600750193209868E-2</v>
      </c>
      <c r="E15" s="101">
        <v>6.9600750193209868E-2</v>
      </c>
      <c r="F15" s="101">
        <v>6.9600750193209868E-2</v>
      </c>
    </row>
    <row r="16" spans="1:8" ht="15.75" customHeight="1" x14ac:dyDescent="0.25">
      <c r="B16" s="19" t="s">
        <v>89</v>
      </c>
      <c r="C16" s="101">
        <v>6.3114565089839036E-3</v>
      </c>
      <c r="D16" s="101">
        <v>6.3114565089839036E-3</v>
      </c>
      <c r="E16" s="101">
        <v>6.3114565089839036E-3</v>
      </c>
      <c r="F16" s="101">
        <v>6.3114565089839036E-3</v>
      </c>
    </row>
    <row r="17" spans="1:8" ht="15.75" customHeight="1" x14ac:dyDescent="0.25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91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92</v>
      </c>
      <c r="C19" s="101">
        <v>0</v>
      </c>
      <c r="D19" s="101">
        <v>0</v>
      </c>
      <c r="E19" s="101">
        <v>0</v>
      </c>
      <c r="F19" s="101">
        <v>0</v>
      </c>
    </row>
    <row r="20" spans="1:8" ht="15.75" customHeight="1" x14ac:dyDescent="0.25">
      <c r="B20" s="19" t="s">
        <v>93</v>
      </c>
      <c r="C20" s="101">
        <v>0.1579843042215579</v>
      </c>
      <c r="D20" s="101">
        <v>0.1579843042215579</v>
      </c>
      <c r="E20" s="101">
        <v>0.1579843042215579</v>
      </c>
      <c r="F20" s="101">
        <v>0.1579843042215579</v>
      </c>
    </row>
    <row r="21" spans="1:8" ht="15.75" customHeight="1" x14ac:dyDescent="0.25">
      <c r="B21" s="19" t="s">
        <v>94</v>
      </c>
      <c r="C21" s="101">
        <v>0.15914721671627879</v>
      </c>
      <c r="D21" s="101">
        <v>0.15914721671627879</v>
      </c>
      <c r="E21" s="101">
        <v>0.15914721671627879</v>
      </c>
      <c r="F21" s="101">
        <v>0.15914721671627879</v>
      </c>
    </row>
    <row r="22" spans="1:8" ht="15.75" customHeight="1" x14ac:dyDescent="0.25">
      <c r="B22" s="19" t="s">
        <v>95</v>
      </c>
      <c r="C22" s="101">
        <v>0.51802384046660255</v>
      </c>
      <c r="D22" s="101">
        <v>0.51802384046660255</v>
      </c>
      <c r="E22" s="101">
        <v>0.51802384046660255</v>
      </c>
      <c r="F22" s="101">
        <v>0.51802384046660255</v>
      </c>
    </row>
    <row r="23" spans="1:8" ht="15.75" customHeight="1" x14ac:dyDescent="0.25">
      <c r="B23" s="27" t="s">
        <v>41</v>
      </c>
      <c r="C23" s="48">
        <f>SUM(C14:C22)</f>
        <v>0.99999999999999978</v>
      </c>
      <c r="D23" s="48">
        <f>SUM(D14:D22)</f>
        <v>0.99999999999999978</v>
      </c>
      <c r="E23" s="48">
        <f>SUM(E14:E22)</f>
        <v>0.99999999999999978</v>
      </c>
      <c r="F23" s="48">
        <f>SUM(F14:F22)</f>
        <v>0.99999999999999978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101</v>
      </c>
      <c r="C26" s="55">
        <v>6.0859322999999993E-2</v>
      </c>
    </row>
    <row r="27" spans="1:8" ht="15.75" customHeight="1" x14ac:dyDescent="0.25">
      <c r="B27" s="19" t="s">
        <v>102</v>
      </c>
      <c r="C27" s="101">
        <v>1.8473204999999999E-2</v>
      </c>
    </row>
    <row r="28" spans="1:8" ht="15.75" customHeight="1" x14ac:dyDescent="0.25">
      <c r="B28" s="19" t="s">
        <v>103</v>
      </c>
      <c r="C28" s="101">
        <v>0.14414038900000001</v>
      </c>
    </row>
    <row r="29" spans="1:8" ht="15.75" customHeight="1" x14ac:dyDescent="0.25">
      <c r="B29" s="19" t="s">
        <v>104</v>
      </c>
      <c r="C29" s="101">
        <v>0.27289618700000001</v>
      </c>
    </row>
    <row r="30" spans="1:8" ht="15.75" customHeight="1" x14ac:dyDescent="0.25">
      <c r="B30" s="19" t="s">
        <v>2</v>
      </c>
      <c r="C30" s="101">
        <v>8.5625018999999997E-2</v>
      </c>
    </row>
    <row r="31" spans="1:8" ht="15.75" customHeight="1" x14ac:dyDescent="0.25">
      <c r="B31" s="19" t="s">
        <v>105</v>
      </c>
      <c r="C31" s="101">
        <v>0.10194423</v>
      </c>
    </row>
    <row r="32" spans="1:8" ht="15.75" customHeight="1" x14ac:dyDescent="0.25">
      <c r="B32" s="19" t="s">
        <v>106</v>
      </c>
      <c r="C32" s="101">
        <v>2.9002987000000001E-2</v>
      </c>
    </row>
    <row r="33" spans="2:3" ht="15.75" customHeight="1" x14ac:dyDescent="0.25">
      <c r="B33" s="19" t="s">
        <v>107</v>
      </c>
      <c r="C33" s="101">
        <v>0.12602046</v>
      </c>
    </row>
    <row r="34" spans="2:3" ht="15.75" customHeight="1" x14ac:dyDescent="0.25">
      <c r="B34" s="19" t="s">
        <v>108</v>
      </c>
      <c r="C34" s="101">
        <v>0.16103819999999999</v>
      </c>
    </row>
    <row r="35" spans="2:3" ht="15.75" customHeight="1" x14ac:dyDescent="0.25">
      <c r="B35" s="27" t="s">
        <v>41</v>
      </c>
      <c r="C35" s="48">
        <f>SUM(C26:C34)</f>
        <v>1</v>
      </c>
    </row>
  </sheetData>
  <sheetProtection algorithmName="SHA-512" hashValue="cxBkqKC9r8CvHT0jXS5EZe3U5Bm3oyMjL2y1S49ZCtuRbRpcTdUPRwxjUGjjobMu1+ORCwq4QeMbv3iYXWx+XA==" saltValue="CXIwZYLpyNSnvU7hoQp/J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5">
      <c r="A2" s="3" t="s">
        <v>111</v>
      </c>
      <c r="B2" s="5" t="s">
        <v>112</v>
      </c>
      <c r="C2" s="52">
        <f>IFERROR(1-_xlfn.NORM.DIST(_xlfn.NORM.INV(SUM(C4:C5), 0, 1) + 1, 0, 1, TRUE), "")</f>
        <v>0.63022661948363956</v>
      </c>
      <c r="D2" s="52">
        <f>IFERROR(1-_xlfn.NORM.DIST(_xlfn.NORM.INV(SUM(D4:D5), 0, 1) + 1, 0, 1, TRUE), "")</f>
        <v>0.63022661948363956</v>
      </c>
      <c r="E2" s="52">
        <f>IFERROR(1-_xlfn.NORM.DIST(_xlfn.NORM.INV(SUM(E4:E5), 0, 1) + 1, 0, 1, TRUE), "")</f>
        <v>0.71255729355238184</v>
      </c>
      <c r="F2" s="52">
        <f>IFERROR(1-_xlfn.NORM.DIST(_xlfn.NORM.INV(SUM(F4:F5), 0, 1) + 1, 0, 1, TRUE), "")</f>
        <v>0.51175717721847791</v>
      </c>
      <c r="G2" s="52">
        <f>IFERROR(1-_xlfn.NORM.DIST(_xlfn.NORM.INV(SUM(G4:G5), 0, 1) + 1, 0, 1, TRUE), "")</f>
        <v>0.48100932041318578</v>
      </c>
    </row>
    <row r="3" spans="1:15" ht="15.75" customHeight="1" x14ac:dyDescent="0.25">
      <c r="B3" s="5" t="s">
        <v>113</v>
      </c>
      <c r="C3" s="52">
        <f>IFERROR(_xlfn.NORM.DIST(_xlfn.NORM.INV(SUM(C4:C5), 0, 1) + 1, 0, 1, TRUE) - SUM(C4:C5), "")</f>
        <v>0.27841779316056792</v>
      </c>
      <c r="D3" s="52">
        <f>IFERROR(_xlfn.NORM.DIST(_xlfn.NORM.INV(SUM(D4:D5), 0, 1) + 1, 0, 1, TRUE) - SUM(D4:D5), "")</f>
        <v>0.27841779316056792</v>
      </c>
      <c r="E3" s="52">
        <f>IFERROR(_xlfn.NORM.DIST(_xlfn.NORM.INV(SUM(E4:E5), 0, 1) + 1, 0, 1, TRUE) - SUM(E4:E5), "")</f>
        <v>0.22816562272288096</v>
      </c>
      <c r="F3" s="52">
        <f>IFERROR(_xlfn.NORM.DIST(_xlfn.NORM.INV(SUM(F4:F5), 0, 1) + 1, 0, 1, TRUE) - SUM(F4:F5), "")</f>
        <v>0.33661459487708356</v>
      </c>
      <c r="G3" s="52">
        <f>IFERROR(_xlfn.NORM.DIST(_xlfn.NORM.INV(SUM(G4:G5), 0, 1) + 1, 0, 1, TRUE) - SUM(G4:G5), "")</f>
        <v>0.34853838657824809</v>
      </c>
    </row>
    <row r="4" spans="1:15" ht="15.75" customHeight="1" x14ac:dyDescent="0.25">
      <c r="B4" s="5" t="s">
        <v>114</v>
      </c>
      <c r="C4" s="45">
        <v>8.403609693050379E-2</v>
      </c>
      <c r="D4" s="53">
        <v>8.403609693050379E-2</v>
      </c>
      <c r="E4" s="53">
        <v>4.9786336719989797E-2</v>
      </c>
      <c r="F4" s="53">
        <v>0.129026889801025</v>
      </c>
      <c r="G4" s="53">
        <v>0.13913692533969901</v>
      </c>
    </row>
    <row r="5" spans="1:15" ht="15.75" customHeight="1" x14ac:dyDescent="0.25">
      <c r="B5" s="5" t="s">
        <v>115</v>
      </c>
      <c r="C5" s="45">
        <v>7.3194904252887006E-3</v>
      </c>
      <c r="D5" s="53">
        <v>7.3194904252887006E-3</v>
      </c>
      <c r="E5" s="53">
        <v>9.4907470047473994E-3</v>
      </c>
      <c r="F5" s="53">
        <v>2.2601338103413599E-2</v>
      </c>
      <c r="G5" s="53">
        <v>3.1315367668867097E-2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116</v>
      </c>
      <c r="B8" s="5" t="s">
        <v>117</v>
      </c>
      <c r="C8" s="52">
        <f>IFERROR(1-_xlfn.NORM.DIST(_xlfn.NORM.INV(SUM(C10:C11), 0, 1) + 1, 0, 1, TRUE), "")</f>
        <v>0.69771355983060679</v>
      </c>
      <c r="D8" s="52">
        <f>IFERROR(1-_xlfn.NORM.DIST(_xlfn.NORM.INV(SUM(D10:D11), 0, 1) + 1, 0, 1, TRUE), "")</f>
        <v>0.69771355983060679</v>
      </c>
      <c r="E8" s="52">
        <f>IFERROR(1-_xlfn.NORM.DIST(_xlfn.NORM.INV(SUM(E10:E11), 0, 1) + 1, 0, 1, TRUE), "")</f>
        <v>0.88939082373130773</v>
      </c>
      <c r="F8" s="52">
        <f>IFERROR(1-_xlfn.NORM.DIST(_xlfn.NORM.INV(SUM(F10:F11), 0, 1) + 1, 0, 1, TRUE), "")</f>
        <v>0.90044307861995287</v>
      </c>
      <c r="G8" s="52">
        <f>IFERROR(1-_xlfn.NORM.DIST(_xlfn.NORM.INV(SUM(G10:G11), 0, 1) + 1, 0, 1, TRUE), "")</f>
        <v>0.87773769696167114</v>
      </c>
    </row>
    <row r="9" spans="1:15" ht="15.75" customHeight="1" x14ac:dyDescent="0.25">
      <c r="B9" s="5" t="s">
        <v>118</v>
      </c>
      <c r="C9" s="52">
        <f>IFERROR(_xlfn.NORM.DIST(_xlfn.NORM.INV(SUM(C10:C11), 0, 1) + 1, 0, 1, TRUE) - SUM(C10:C11), "")</f>
        <v>0.23775853369194191</v>
      </c>
      <c r="D9" s="52">
        <f>IFERROR(_xlfn.NORM.DIST(_xlfn.NORM.INV(SUM(D10:D11), 0, 1) + 1, 0, 1, TRUE) - SUM(D10:D11), "")</f>
        <v>0.23775853369194191</v>
      </c>
      <c r="E9" s="52">
        <f>IFERROR(_xlfn.NORM.DIST(_xlfn.NORM.INV(SUM(E10:E11), 0, 1) + 1, 0, 1, TRUE) - SUM(E10:E11), "")</f>
        <v>9.7511213904137875E-2</v>
      </c>
      <c r="F9" s="52">
        <f>IFERROR(_xlfn.NORM.DIST(_xlfn.NORM.INV(SUM(F10:F11), 0, 1) + 1, 0, 1, TRUE) - SUM(F10:F11), "")</f>
        <v>8.8373516783524647E-2</v>
      </c>
      <c r="G9" s="52">
        <f>IFERROR(_xlfn.NORM.DIST(_xlfn.NORM.INV(SUM(G10:G11), 0, 1) + 1, 0, 1, TRUE) - SUM(G10:G11), "")</f>
        <v>0.10702060188242796</v>
      </c>
    </row>
    <row r="10" spans="1:15" ht="15.75" customHeight="1" x14ac:dyDescent="0.25">
      <c r="B10" s="5" t="s">
        <v>119</v>
      </c>
      <c r="C10" s="45">
        <v>4.4755619019269902E-2</v>
      </c>
      <c r="D10" s="53">
        <v>4.4755619019269902E-2</v>
      </c>
      <c r="E10" s="53">
        <v>8.2350764423609005E-3</v>
      </c>
      <c r="F10" s="53">
        <v>2.1002453286201E-3</v>
      </c>
      <c r="G10" s="53">
        <v>1.28592690452933E-2</v>
      </c>
    </row>
    <row r="11" spans="1:15" ht="15.75" customHeight="1" x14ac:dyDescent="0.25">
      <c r="B11" s="5" t="s">
        <v>120</v>
      </c>
      <c r="C11" s="45">
        <v>1.9772287458181399E-2</v>
      </c>
      <c r="D11" s="53">
        <v>1.9772287458181399E-2</v>
      </c>
      <c r="E11" s="53">
        <v>4.8628859221935003E-3</v>
      </c>
      <c r="F11" s="53">
        <v>9.0831592679024003E-3</v>
      </c>
      <c r="G11" s="53">
        <v>2.3824321106076002E-3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5">
      <c r="B14" s="11" t="s">
        <v>126</v>
      </c>
      <c r="C14" s="51">
        <v>0.434390426</v>
      </c>
      <c r="D14" s="54">
        <v>0.409926477324</v>
      </c>
      <c r="E14" s="54">
        <v>0.409926477324</v>
      </c>
      <c r="F14" s="54">
        <v>0.344801102149</v>
      </c>
      <c r="G14" s="54">
        <v>0.344801102149</v>
      </c>
      <c r="H14" s="45">
        <v>0.21299999999999999</v>
      </c>
      <c r="I14" s="55">
        <v>0.21299999999999999</v>
      </c>
      <c r="J14" s="55">
        <v>0.21299999999999999</v>
      </c>
      <c r="K14" s="55">
        <v>0.21299999999999999</v>
      </c>
      <c r="L14" s="45">
        <v>0.217</v>
      </c>
      <c r="M14" s="55">
        <v>0.217</v>
      </c>
      <c r="N14" s="55">
        <v>0.217</v>
      </c>
      <c r="O14" s="55">
        <v>0.217</v>
      </c>
    </row>
    <row r="15" spans="1:15" ht="15.75" customHeight="1" x14ac:dyDescent="0.25">
      <c r="B15" s="11" t="s">
        <v>127</v>
      </c>
      <c r="C15" s="52">
        <f t="shared" ref="C15:O15" si="0">iron_deficiency_anaemia*C14</f>
        <v>0.24743313055385999</v>
      </c>
      <c r="D15" s="52">
        <f t="shared" si="0"/>
        <v>0.23349822074852361</v>
      </c>
      <c r="E15" s="52">
        <f t="shared" si="0"/>
        <v>0.23349822074852361</v>
      </c>
      <c r="F15" s="52">
        <f t="shared" si="0"/>
        <v>0.19640215579509188</v>
      </c>
      <c r="G15" s="52">
        <f t="shared" si="0"/>
        <v>0.19640215579509188</v>
      </c>
      <c r="H15" s="52">
        <f t="shared" si="0"/>
        <v>0.12132692999999999</v>
      </c>
      <c r="I15" s="52">
        <f t="shared" si="0"/>
        <v>0.12132692999999999</v>
      </c>
      <c r="J15" s="52">
        <f t="shared" si="0"/>
        <v>0.12132692999999999</v>
      </c>
      <c r="K15" s="52">
        <f t="shared" si="0"/>
        <v>0.12132692999999999</v>
      </c>
      <c r="L15" s="52">
        <f t="shared" si="0"/>
        <v>0.12360536999999999</v>
      </c>
      <c r="M15" s="52">
        <f t="shared" si="0"/>
        <v>0.12360536999999999</v>
      </c>
      <c r="N15" s="52">
        <f t="shared" si="0"/>
        <v>0.12360536999999999</v>
      </c>
      <c r="O15" s="52">
        <f t="shared" si="0"/>
        <v>0.12360536999999999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vysI+C2kWl8mjx2Yc33KX1EEGATMHkIG27S921vaQBWTvquY/TWZTtpxVxI+xGShjdOU85iWl33MLC8/RmXkMg==" saltValue="tEIrvP+NGEBjsBvUo3VSA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5">
      <c r="A2" s="3" t="s">
        <v>128</v>
      </c>
      <c r="B2" s="3" t="s">
        <v>129</v>
      </c>
      <c r="C2" s="45">
        <v>0.49676173925399802</v>
      </c>
      <c r="D2" s="53">
        <v>0.2988326</v>
      </c>
      <c r="E2" s="53"/>
      <c r="F2" s="53"/>
      <c r="G2" s="53"/>
    </row>
    <row r="3" spans="1:7" x14ac:dyDescent="0.25">
      <c r="B3" s="3" t="s">
        <v>130</v>
      </c>
      <c r="C3" s="53">
        <v>0.15486164391040799</v>
      </c>
      <c r="D3" s="53">
        <v>0.17969640000000001</v>
      </c>
      <c r="E3" s="53"/>
      <c r="F3" s="53"/>
      <c r="G3" s="53"/>
    </row>
    <row r="4" spans="1:7" x14ac:dyDescent="0.25">
      <c r="B4" s="3" t="s">
        <v>131</v>
      </c>
      <c r="C4" s="53">
        <v>0.30888521671295199</v>
      </c>
      <c r="D4" s="53">
        <v>0.43784060000000002</v>
      </c>
      <c r="E4" s="53">
        <v>0.7645732760429379</v>
      </c>
      <c r="F4" s="53">
        <v>0.47131150960922202</v>
      </c>
      <c r="G4" s="53"/>
    </row>
    <row r="5" spans="1:7" x14ac:dyDescent="0.25">
      <c r="B5" s="3" t="s">
        <v>132</v>
      </c>
      <c r="C5" s="52">
        <v>3.9491388946771601E-2</v>
      </c>
      <c r="D5" s="52">
        <v>8.363040536642069E-2</v>
      </c>
      <c r="E5" s="52">
        <f>1-SUM(E2:E4)</f>
        <v>0.2354267239570621</v>
      </c>
      <c r="F5" s="52">
        <f>1-SUM(F2:F4)</f>
        <v>0.52868849039077803</v>
      </c>
      <c r="G5" s="52">
        <f>1-SUM(G2:G4)</f>
        <v>1</v>
      </c>
    </row>
  </sheetData>
  <sheetProtection algorithmName="SHA-512" hashValue="8Vv3tLj5nosqAYYpfXI/MwXizmmhxOvWADuw3vcCxDAzdrhhCBXyHjq2ufEzO4a5b1pAG+DdcbzqMxQNAleYIA==" saltValue="k4gaUk+VG6YitChn+k0uqA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+xHQNsfldIjEk2MjFc15p+JbqTGoUg0CPSu+/MijV35GK8rUBE/kM5ZEunBcR8KLvaSExUXudXdWjvyCXvW7kg==" saltValue="MQVYpKaear3Q2EPzYuESW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4</v>
      </c>
      <c r="B1" s="4" t="s">
        <v>144</v>
      </c>
    </row>
    <row r="2" spans="1:2" x14ac:dyDescent="0.25">
      <c r="A2" s="8" t="s">
        <v>145</v>
      </c>
      <c r="B2" s="41">
        <v>10</v>
      </c>
    </row>
    <row r="3" spans="1:2" x14ac:dyDescent="0.25">
      <c r="A3" s="8" t="s">
        <v>150</v>
      </c>
      <c r="B3" s="41">
        <v>10</v>
      </c>
    </row>
    <row r="4" spans="1:2" x14ac:dyDescent="0.25">
      <c r="A4" s="8" t="s">
        <v>146</v>
      </c>
      <c r="B4" s="41">
        <v>10</v>
      </c>
    </row>
    <row r="5" spans="1:2" x14ac:dyDescent="0.25">
      <c r="A5" s="8" t="s">
        <v>147</v>
      </c>
      <c r="B5" s="41">
        <v>10</v>
      </c>
    </row>
    <row r="6" spans="1:2" x14ac:dyDescent="0.25">
      <c r="A6" s="8" t="s">
        <v>148</v>
      </c>
      <c r="B6" s="41">
        <v>10</v>
      </c>
    </row>
    <row r="7" spans="1:2" x14ac:dyDescent="0.25">
      <c r="A7" s="8" t="s">
        <v>149</v>
      </c>
      <c r="B7" s="41">
        <v>10</v>
      </c>
    </row>
  </sheetData>
  <sheetProtection algorithmName="SHA-512" hashValue="zaUY946RcONnQVdUdeyxBhN80c9cJGxlUh2+z6Ci64k0gNvs7Df7spRIUxeDmhRVz/JvplzQyqQqRL3YKTuK4A==" saltValue="k7z0JJvs+bp212GXZz+8tA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ht="13" customHeight="1" x14ac:dyDescent="0.3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5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5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5">
      <c r="B5" s="32" t="s">
        <v>97</v>
      </c>
      <c r="C5" s="47"/>
      <c r="D5" s="47"/>
      <c r="E5" s="38" t="str">
        <f>IF(E$7="","",E$7)</f>
        <v/>
      </c>
    </row>
    <row r="6" spans="1:5" x14ac:dyDescent="0.25">
      <c r="B6" s="32" t="s">
        <v>98</v>
      </c>
      <c r="C6" s="47"/>
      <c r="D6" s="47"/>
      <c r="E6" s="38" t="str">
        <f>IF(E$7="","",E$7)</f>
        <v/>
      </c>
    </row>
    <row r="7" spans="1:5" x14ac:dyDescent="0.25">
      <c r="B7" s="32" t="s">
        <v>156</v>
      </c>
      <c r="C7" s="31"/>
      <c r="D7" s="30"/>
      <c r="E7" s="47"/>
    </row>
    <row r="9" spans="1:5" ht="13" customHeight="1" x14ac:dyDescent="0.3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5">
      <c r="B10" s="32" t="s">
        <v>109</v>
      </c>
      <c r="C10" s="47"/>
      <c r="D10" s="47"/>
      <c r="E10" s="38" t="str">
        <f>IF(E$7="","",E$7)</f>
        <v/>
      </c>
    </row>
    <row r="11" spans="1:5" x14ac:dyDescent="0.25">
      <c r="B11" s="32" t="s">
        <v>96</v>
      </c>
      <c r="C11" s="47"/>
      <c r="D11" s="47"/>
      <c r="E11" s="38" t="str">
        <f>IF(E$7="","",E$7)</f>
        <v/>
      </c>
    </row>
    <row r="12" spans="1:5" x14ac:dyDescent="0.25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5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5">
      <c r="B14" s="32" t="s">
        <v>156</v>
      </c>
      <c r="C14" s="31"/>
      <c r="D14" s="30"/>
      <c r="E14" s="47"/>
    </row>
    <row r="16" spans="1:5" ht="13" customHeight="1" x14ac:dyDescent="0.3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5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5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5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5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5">
      <c r="B21" s="32" t="s">
        <v>156</v>
      </c>
      <c r="C21" s="31"/>
      <c r="D21" s="30"/>
      <c r="E21" s="47"/>
    </row>
  </sheetData>
  <sheetProtection algorithmName="SHA-512" hashValue="ZmPXsP59YbZUv2odmu7vcSs1KNJKJ7hv0RhdmtHlZ8t4zp3bpcz39qGYwDrCnbQp+RawZetBOfXTgNbJ7OpLhA==" saltValue="2XJOer1URjeJwBP6cgS5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162</v>
      </c>
      <c r="C1" s="40" t="s">
        <v>6</v>
      </c>
      <c r="D1" s="40" t="s">
        <v>163</v>
      </c>
    </row>
    <row r="2" spans="1:4" ht="13" customHeight="1" x14ac:dyDescent="0.3">
      <c r="A2" s="40" t="s">
        <v>160</v>
      </c>
      <c r="B2" s="32" t="s">
        <v>161</v>
      </c>
      <c r="C2" s="32" t="s">
        <v>165</v>
      </c>
      <c r="D2" s="47"/>
    </row>
    <row r="3" spans="1:4" ht="13" customHeight="1" x14ac:dyDescent="0.3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thCbOZJuP0Tw9fpHhfAjfnpiSXc7PQjVhwGXMEDl10ASqLLM85+Ewf9PvdMfj+DjDQpT7/jBDOzsVO2Uj/1ojQ==" saltValue="SXg4e5i00loyrJCCI8qIp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5">
      <c r="A2" s="5" t="s">
        <v>168</v>
      </c>
      <c r="B2" s="45">
        <v>0.54001411094533003</v>
      </c>
      <c r="C2" s="98">
        <v>0.95</v>
      </c>
      <c r="D2" s="56">
        <v>61.861086469337543</v>
      </c>
      <c r="E2" s="56" t="s">
        <v>201</v>
      </c>
      <c r="F2" s="98">
        <v>1</v>
      </c>
      <c r="G2" s="98">
        <v>1</v>
      </c>
    </row>
    <row r="3" spans="1:7" ht="15.75" customHeight="1" x14ac:dyDescent="0.25">
      <c r="A3" s="5" t="s">
        <v>169</v>
      </c>
      <c r="B3" s="45">
        <v>0</v>
      </c>
      <c r="C3" s="98">
        <v>0.95</v>
      </c>
      <c r="D3" s="56">
        <v>39.966012526302137</v>
      </c>
      <c r="E3" s="56" t="s">
        <v>201</v>
      </c>
      <c r="F3" s="98">
        <v>1</v>
      </c>
      <c r="G3" s="98">
        <v>1</v>
      </c>
    </row>
    <row r="4" spans="1:7" ht="15.75" customHeight="1" x14ac:dyDescent="0.25">
      <c r="A4" s="5" t="s">
        <v>170</v>
      </c>
      <c r="B4" s="98">
        <v>0</v>
      </c>
      <c r="C4" s="98">
        <v>0.95</v>
      </c>
      <c r="D4" s="56">
        <v>474.4736397477613</v>
      </c>
      <c r="E4" s="56" t="s">
        <v>201</v>
      </c>
      <c r="F4" s="98">
        <v>1</v>
      </c>
      <c r="G4" s="98">
        <v>1</v>
      </c>
    </row>
    <row r="5" spans="1:7" ht="15.75" customHeight="1" x14ac:dyDescent="0.25">
      <c r="A5" s="5" t="s">
        <v>171</v>
      </c>
      <c r="B5" s="98">
        <v>0</v>
      </c>
      <c r="C5" s="98">
        <v>0.95</v>
      </c>
      <c r="D5" s="56">
        <v>1.45725994740313</v>
      </c>
      <c r="E5" s="56" t="s">
        <v>201</v>
      </c>
      <c r="F5" s="98">
        <v>1</v>
      </c>
      <c r="G5" s="98">
        <v>1</v>
      </c>
    </row>
    <row r="6" spans="1:7" ht="15.75" customHeight="1" x14ac:dyDescent="0.25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5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5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5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5">
      <c r="A10" s="11" t="s">
        <v>176</v>
      </c>
      <c r="B10" s="45">
        <v>0</v>
      </c>
      <c r="C10" s="98">
        <v>0.95</v>
      </c>
      <c r="D10" s="56">
        <v>13.098311970098051</v>
      </c>
      <c r="E10" s="56" t="s">
        <v>201</v>
      </c>
      <c r="F10" s="98">
        <v>1</v>
      </c>
      <c r="G10" s="98">
        <v>1</v>
      </c>
    </row>
    <row r="11" spans="1:7" ht="15.75" customHeight="1" x14ac:dyDescent="0.25">
      <c r="A11" s="11" t="s">
        <v>177</v>
      </c>
      <c r="B11" s="98">
        <v>0</v>
      </c>
      <c r="C11" s="98">
        <v>0.95</v>
      </c>
      <c r="D11" s="56">
        <v>13.098311970098051</v>
      </c>
      <c r="E11" s="56" t="s">
        <v>201</v>
      </c>
      <c r="F11" s="98">
        <v>1</v>
      </c>
      <c r="G11" s="98">
        <v>1</v>
      </c>
    </row>
    <row r="12" spans="1:7" ht="15.75" customHeight="1" x14ac:dyDescent="0.25">
      <c r="A12" s="11" t="s">
        <v>178</v>
      </c>
      <c r="B12" s="98">
        <v>0</v>
      </c>
      <c r="C12" s="98">
        <v>0.95</v>
      </c>
      <c r="D12" s="56">
        <v>13.098311970098051</v>
      </c>
      <c r="E12" s="56" t="s">
        <v>201</v>
      </c>
      <c r="F12" s="98">
        <v>1</v>
      </c>
      <c r="G12" s="98">
        <v>1</v>
      </c>
    </row>
    <row r="13" spans="1:7" ht="15.75" customHeight="1" x14ac:dyDescent="0.25">
      <c r="A13" s="11" t="s">
        <v>179</v>
      </c>
      <c r="B13" s="98">
        <v>0</v>
      </c>
      <c r="C13" s="98">
        <v>0.95</v>
      </c>
      <c r="D13" s="56">
        <v>13.098311970098051</v>
      </c>
      <c r="E13" s="56" t="s">
        <v>201</v>
      </c>
      <c r="F13" s="98">
        <v>1</v>
      </c>
      <c r="G13" s="98">
        <v>1</v>
      </c>
    </row>
    <row r="14" spans="1:7" ht="15.75" customHeight="1" x14ac:dyDescent="0.25">
      <c r="A14" s="5" t="s">
        <v>180</v>
      </c>
      <c r="B14" s="45">
        <v>0</v>
      </c>
      <c r="C14" s="98">
        <v>0.95</v>
      </c>
      <c r="D14" s="56">
        <v>13.098311970098051</v>
      </c>
      <c r="E14" s="56" t="s">
        <v>201</v>
      </c>
      <c r="F14" s="98">
        <v>1</v>
      </c>
      <c r="G14" s="98">
        <v>1</v>
      </c>
    </row>
    <row r="15" spans="1:7" ht="15.75" customHeight="1" x14ac:dyDescent="0.25">
      <c r="A15" s="5" t="s">
        <v>181</v>
      </c>
      <c r="B15" s="98">
        <v>0</v>
      </c>
      <c r="C15" s="98">
        <v>0.95</v>
      </c>
      <c r="D15" s="56">
        <v>13.098311970098051</v>
      </c>
      <c r="E15" s="56" t="s">
        <v>201</v>
      </c>
      <c r="F15" s="98">
        <v>1</v>
      </c>
      <c r="G15" s="98">
        <v>1</v>
      </c>
    </row>
    <row r="16" spans="1:7" ht="15.75" customHeight="1" x14ac:dyDescent="0.25">
      <c r="A16" s="5" t="s">
        <v>182</v>
      </c>
      <c r="B16" s="45">
        <v>0.59645278866922202</v>
      </c>
      <c r="C16" s="98">
        <v>0.95</v>
      </c>
      <c r="D16" s="56">
        <v>0.80507776999339498</v>
      </c>
      <c r="E16" s="56" t="s">
        <v>201</v>
      </c>
      <c r="F16" s="98">
        <v>1</v>
      </c>
      <c r="G16" s="98">
        <v>1</v>
      </c>
    </row>
    <row r="17" spans="1:7" ht="15.75" customHeight="1" x14ac:dyDescent="0.25">
      <c r="A17" s="5" t="s">
        <v>183</v>
      </c>
      <c r="B17" s="98">
        <v>0.91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" customHeight="1" x14ac:dyDescent="0.25">
      <c r="A18" s="5" t="s">
        <v>157</v>
      </c>
      <c r="B18" s="98">
        <v>0</v>
      </c>
      <c r="C18" s="98">
        <v>0.95</v>
      </c>
      <c r="D18" s="56">
        <v>10.92023727763495</v>
      </c>
      <c r="E18" s="56" t="s">
        <v>201</v>
      </c>
      <c r="F18" s="98">
        <v>1</v>
      </c>
      <c r="G18" s="98">
        <v>1</v>
      </c>
    </row>
    <row r="19" spans="1:7" ht="15.75" customHeight="1" x14ac:dyDescent="0.25">
      <c r="A19" s="5" t="s">
        <v>158</v>
      </c>
      <c r="B19" s="98">
        <v>0</v>
      </c>
      <c r="C19" s="98">
        <v>0.95</v>
      </c>
      <c r="D19" s="56">
        <v>10.92023727763495</v>
      </c>
      <c r="E19" s="56" t="s">
        <v>201</v>
      </c>
      <c r="F19" s="98">
        <v>1</v>
      </c>
      <c r="G19" s="98">
        <v>1</v>
      </c>
    </row>
    <row r="20" spans="1:7" ht="15.75" customHeight="1" x14ac:dyDescent="0.25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5">
      <c r="A21" s="5" t="s">
        <v>184</v>
      </c>
      <c r="B21" s="45">
        <v>0.163617968559265</v>
      </c>
      <c r="C21" s="98">
        <v>0.95</v>
      </c>
      <c r="D21" s="56">
        <v>15.02309818297103</v>
      </c>
      <c r="E21" s="56" t="s">
        <v>201</v>
      </c>
      <c r="F21" s="98">
        <v>1</v>
      </c>
      <c r="G21" s="98">
        <v>1</v>
      </c>
    </row>
    <row r="22" spans="1:7" ht="15.75" customHeight="1" x14ac:dyDescent="0.25">
      <c r="A22" s="5" t="s">
        <v>185</v>
      </c>
      <c r="B22" s="98">
        <v>0</v>
      </c>
      <c r="C22" s="98">
        <v>0.95</v>
      </c>
      <c r="D22" s="56">
        <v>22.648664763181358</v>
      </c>
      <c r="E22" s="56" t="s">
        <v>201</v>
      </c>
      <c r="F22" s="98">
        <v>1</v>
      </c>
      <c r="G22" s="98">
        <v>1</v>
      </c>
    </row>
    <row r="23" spans="1:7" ht="15.75" customHeight="1" x14ac:dyDescent="0.25">
      <c r="A23" s="5" t="s">
        <v>186</v>
      </c>
      <c r="B23" s="98">
        <v>1.5806422229999999E-2</v>
      </c>
      <c r="C23" s="98">
        <v>0.95</v>
      </c>
      <c r="D23" s="56">
        <v>4.3331704911650171</v>
      </c>
      <c r="E23" s="56" t="s">
        <v>201</v>
      </c>
      <c r="F23" s="98">
        <v>1</v>
      </c>
      <c r="G23" s="98">
        <v>1</v>
      </c>
    </row>
    <row r="24" spans="1:7" ht="15.75" customHeight="1" x14ac:dyDescent="0.25">
      <c r="A24" s="5" t="s">
        <v>187</v>
      </c>
      <c r="B24" s="45">
        <v>0.83952391473329102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5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5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5">
      <c r="A27" s="5" t="s">
        <v>190</v>
      </c>
      <c r="B27" s="45">
        <v>0.56516226286952598</v>
      </c>
      <c r="C27" s="98">
        <v>0.95</v>
      </c>
      <c r="D27" s="56">
        <v>18.55694520304651</v>
      </c>
      <c r="E27" s="56" t="s">
        <v>201</v>
      </c>
      <c r="F27" s="98">
        <v>1</v>
      </c>
      <c r="G27" s="98">
        <v>1</v>
      </c>
    </row>
    <row r="28" spans="1:7" ht="15.75" customHeight="1" x14ac:dyDescent="0.25">
      <c r="A28" s="5" t="s">
        <v>191</v>
      </c>
      <c r="B28" s="45">
        <v>0.55214359999999996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5">
      <c r="A29" s="5" t="s">
        <v>192</v>
      </c>
      <c r="B29" s="45">
        <v>0</v>
      </c>
      <c r="C29" s="98">
        <v>0.95</v>
      </c>
      <c r="D29" s="56">
        <v>122.3932530911411</v>
      </c>
      <c r="E29" s="56" t="s">
        <v>201</v>
      </c>
      <c r="F29" s="98">
        <v>1</v>
      </c>
      <c r="G29" s="98">
        <v>1</v>
      </c>
    </row>
    <row r="30" spans="1:7" ht="15.75" customHeight="1" x14ac:dyDescent="0.25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5">
      <c r="A31" s="5" t="s">
        <v>161</v>
      </c>
      <c r="B31" s="45">
        <v>0</v>
      </c>
      <c r="C31" s="98">
        <v>0.95</v>
      </c>
      <c r="D31" s="56">
        <v>0.61300697415096694</v>
      </c>
      <c r="E31" s="56" t="s">
        <v>201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0.2988326</v>
      </c>
      <c r="C32" s="98">
        <v>0.95</v>
      </c>
      <c r="D32" s="56">
        <v>1.737469925830645</v>
      </c>
      <c r="E32" s="56" t="s">
        <v>201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0.87858523549794398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0.44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9.5506578683853094E-2</v>
      </c>
      <c r="C38" s="98">
        <v>0.95</v>
      </c>
      <c r="D38" s="56">
        <v>1.895773684330621</v>
      </c>
      <c r="E38" s="56" t="s">
        <v>201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0.57829639999999993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QmcXR9Mja96u86e4Rwayo4tVXtYdWZkk8sEF7octdhoKOXia1cTCz8zPtwvFO1UJVcrwwfnn5pjNQHhrJkhmZw==" saltValue="BmX/n7i5MBD/zsROF41yP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160</v>
      </c>
      <c r="B1" s="4" t="s">
        <v>206</v>
      </c>
      <c r="C1" s="4" t="s">
        <v>207</v>
      </c>
    </row>
    <row r="2" spans="1:3" x14ac:dyDescent="0.25">
      <c r="A2" s="57" t="s">
        <v>180</v>
      </c>
      <c r="B2" s="47" t="s">
        <v>190</v>
      </c>
      <c r="C2" s="47"/>
    </row>
    <row r="3" spans="1:3" x14ac:dyDescent="0.25">
      <c r="A3" s="57" t="s">
        <v>181</v>
      </c>
      <c r="B3" s="47" t="s">
        <v>190</v>
      </c>
      <c r="C3" s="47"/>
    </row>
    <row r="4" spans="1:3" x14ac:dyDescent="0.25">
      <c r="A4" s="57" t="s">
        <v>192</v>
      </c>
      <c r="B4" s="47" t="s">
        <v>185</v>
      </c>
      <c r="C4" s="47"/>
    </row>
    <row r="5" spans="1:3" x14ac:dyDescent="0.25">
      <c r="A5" s="57" t="s">
        <v>189</v>
      </c>
      <c r="B5" s="47" t="s">
        <v>185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1ofzZ81oa8ARa6v7Ay75kV6Igza/WDTV3LQAPlJBafh3njCWJbMHoFYlFfRgjit8mL91rt8RWKUQAnATSS6Yg==" saltValue="B7MbDlA31pGwt23EU+Mfm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160</v>
      </c>
    </row>
    <row r="2" spans="1:1" x14ac:dyDescent="0.25">
      <c r="A2" s="33" t="s">
        <v>172</v>
      </c>
    </row>
    <row r="3" spans="1:1" x14ac:dyDescent="0.25">
      <c r="A3" s="33" t="s">
        <v>182</v>
      </c>
    </row>
    <row r="4" spans="1:1" x14ac:dyDescent="0.25">
      <c r="A4" s="33" t="s">
        <v>186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Hd+uPWq4sVoETx8zKrmo5LWi6YsVCtd7ZPx1yqrUhBFZhKDd8H242rOXGCrsfXe6tVyOc5qxZeRHN3SxDxJ/qw==" saltValue="l6n62FqPqNxOgBJFPJnmx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3" t="s">
        <v>87</v>
      </c>
      <c r="B2" s="21">
        <f>'Données pop de l''année de ref'!C51</f>
        <v>3.2</v>
      </c>
      <c r="C2" s="21">
        <f>'Données pop de l''année de ref'!C52</f>
        <v>3.2</v>
      </c>
      <c r="D2" s="21">
        <f>'Données pop de l''année de ref'!C53</f>
        <v>3.2</v>
      </c>
      <c r="E2" s="21">
        <f>'Données pop de l''année de ref'!C54</f>
        <v>3.2</v>
      </c>
      <c r="F2" s="21">
        <f>'Données pop de l''année de ref'!C55</f>
        <v>3.2</v>
      </c>
    </row>
    <row r="3" spans="1:6" ht="15.75" customHeight="1" x14ac:dyDescent="0.25">
      <c r="A3" s="3" t="s">
        <v>209</v>
      </c>
      <c r="B3" s="21">
        <f>frac_mam_1month * 2.6</f>
        <v>0.11636460945010174</v>
      </c>
      <c r="C3" s="21">
        <f>frac_mam_1_5months * 2.6</f>
        <v>0.11636460945010174</v>
      </c>
      <c r="D3" s="21">
        <f>frac_mam_6_11months * 2.6</f>
        <v>2.1411198750138343E-2</v>
      </c>
      <c r="E3" s="21">
        <f>frac_mam_12_23months * 2.6</f>
        <v>5.4606378544122605E-3</v>
      </c>
      <c r="F3" s="21">
        <f>frac_mam_24_59months * 2.6</f>
        <v>3.3434099517762578E-2</v>
      </c>
    </row>
    <row r="4" spans="1:6" ht="15.75" customHeight="1" x14ac:dyDescent="0.25">
      <c r="A4" s="3" t="s">
        <v>208</v>
      </c>
      <c r="B4" s="21">
        <f>frac_sam_1month * 2.6</f>
        <v>5.1407947391271636E-2</v>
      </c>
      <c r="C4" s="21">
        <f>frac_sam_1_5months * 2.6</f>
        <v>5.1407947391271636E-2</v>
      </c>
      <c r="D4" s="21">
        <f>frac_sam_6_11months * 2.6</f>
        <v>1.2643503397703102E-2</v>
      </c>
      <c r="E4" s="21">
        <f>frac_sam_12_23months * 2.6</f>
        <v>2.3616214096546243E-2</v>
      </c>
      <c r="F4" s="21">
        <f>frac_sam_24_59months * 2.6</f>
        <v>6.1943234875797611E-3</v>
      </c>
    </row>
  </sheetData>
  <sheetProtection algorithmName="SHA-512" hashValue="Fhy9uCV86zop9ItptXyESei2Atc7nbEkKfN/qhQSCbxcEwTkUMCnDSXxQUSt/oTdq+VT1KKhucldr3A87bFDNw==" saltValue="A4fL+LSQps5PYslgOXJ+x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">
      <c r="A2" s="4" t="s">
        <v>86</v>
      </c>
      <c r="B2" s="5" t="s">
        <v>170</v>
      </c>
      <c r="C2" s="60">
        <v>0</v>
      </c>
      <c r="D2" s="60">
        <f>food_insecure</f>
        <v>0.13900000000000001</v>
      </c>
      <c r="E2" s="60">
        <f>food_insecure</f>
        <v>0.13900000000000001</v>
      </c>
      <c r="F2" s="60">
        <f>food_insecure</f>
        <v>0.13900000000000001</v>
      </c>
      <c r="G2" s="60">
        <f>food_insecure</f>
        <v>0.13900000000000001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185</v>
      </c>
      <c r="C5" s="60">
        <v>0</v>
      </c>
      <c r="D5" s="60">
        <v>0</v>
      </c>
      <c r="E5" s="60">
        <f>food_insecure</f>
        <v>0.13900000000000001</v>
      </c>
      <c r="F5" s="60">
        <f>food_insecure</f>
        <v>0.13900000000000001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191</v>
      </c>
      <c r="C7" s="60">
        <f>diarrhoea_1mo*frac_diarrhea_severe</f>
        <v>6.2E-2</v>
      </c>
      <c r="D7" s="60">
        <f>diarrhoea_1_5mo*frac_diarrhea_severe</f>
        <v>6.2E-2</v>
      </c>
      <c r="E7" s="60">
        <f>diarrhoea_6_11mo*frac_diarrhea_severe</f>
        <v>6.2E-2</v>
      </c>
      <c r="F7" s="60">
        <f>diarrhoea_12_23mo*frac_diarrhea_severe</f>
        <v>6.2E-2</v>
      </c>
      <c r="G7" s="60">
        <f>diarrhoea_24_59mo*frac_diarrhea_severe</f>
        <v>6.2E-2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192</v>
      </c>
      <c r="C8" s="60">
        <v>0</v>
      </c>
      <c r="D8" s="60">
        <v>0</v>
      </c>
      <c r="E8" s="60">
        <f>food_insecure</f>
        <v>0.13900000000000001</v>
      </c>
      <c r="F8" s="60">
        <f>food_insecure</f>
        <v>0.13900000000000001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205</v>
      </c>
      <c r="C9" s="60">
        <v>0</v>
      </c>
      <c r="D9" s="60">
        <v>0</v>
      </c>
      <c r="E9" s="60">
        <f>food_insecure</f>
        <v>0.13900000000000001</v>
      </c>
      <c r="F9" s="60">
        <f>food_insecure</f>
        <v>0.13900000000000001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161</v>
      </c>
      <c r="C10" s="60">
        <v>0</v>
      </c>
      <c r="D10" s="60">
        <f>IF(ISBLANK(comm_deliv), frac_children_health_facility,1)</f>
        <v>0.67400000000000004</v>
      </c>
      <c r="E10" s="60">
        <f>IF(ISBLANK(comm_deliv), frac_children_health_facility,1)</f>
        <v>0.67400000000000004</v>
      </c>
      <c r="F10" s="60">
        <f>IF(ISBLANK(comm_deliv), frac_children_health_facility,1)</f>
        <v>0.67400000000000004</v>
      </c>
      <c r="G10" s="60">
        <f>IF(ISBLANK(comm_deliv), frac_children_health_facility,1)</f>
        <v>0.67400000000000004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6.2E-2</v>
      </c>
      <c r="D12" s="60">
        <f>diarrhoea_1_5mo*frac_diarrhea_severe</f>
        <v>6.2E-2</v>
      </c>
      <c r="E12" s="60">
        <f>diarrhoea_6_11mo*frac_diarrhea_severe</f>
        <v>6.2E-2</v>
      </c>
      <c r="F12" s="60">
        <f>diarrhoea_12_23mo*frac_diarrhea_severe</f>
        <v>6.2E-2</v>
      </c>
      <c r="G12" s="60">
        <f>diarrhoea_24_59mo*frac_diarrhea_severe</f>
        <v>6.2E-2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0.13900000000000001</v>
      </c>
      <c r="I15" s="60">
        <f>food_insecure</f>
        <v>0.13900000000000001</v>
      </c>
      <c r="J15" s="60">
        <f>food_insecure</f>
        <v>0.13900000000000001</v>
      </c>
      <c r="K15" s="60">
        <f>food_insecure</f>
        <v>0.13900000000000001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0.92599999999999993</v>
      </c>
      <c r="I18" s="60">
        <f>frac_PW_health_facility</f>
        <v>0.92599999999999993</v>
      </c>
      <c r="J18" s="60">
        <f>frac_PW_health_facility</f>
        <v>0.92599999999999993</v>
      </c>
      <c r="K18" s="60">
        <f>frac_PW_health_facility</f>
        <v>0.92599999999999993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0.34100000000000003</v>
      </c>
      <c r="M24" s="60">
        <f>famplan_unmet_need</f>
        <v>0.34100000000000003</v>
      </c>
      <c r="N24" s="60">
        <f>famplan_unmet_need</f>
        <v>0.34100000000000003</v>
      </c>
      <c r="O24" s="60">
        <f>famplan_unmet_need</f>
        <v>0.34100000000000003</v>
      </c>
    </row>
    <row r="25" spans="1:15" ht="15.75" customHeight="1" x14ac:dyDescent="0.25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0.14166358523178096</v>
      </c>
      <c r="M25" s="60">
        <f>(1-food_insecure)*(0.49)+food_insecure*(0.7)</f>
        <v>0.51919000000000004</v>
      </c>
      <c r="N25" s="60">
        <f>(1-food_insecure)*(0.49)+food_insecure*(0.7)</f>
        <v>0.51919000000000004</v>
      </c>
      <c r="O25" s="60">
        <f>(1-food_insecure)*(0.49)+food_insecure*(0.7)</f>
        <v>0.51919000000000004</v>
      </c>
    </row>
    <row r="26" spans="1:15" ht="15.75" customHeight="1" x14ac:dyDescent="0.25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6.0712965099334701E-2</v>
      </c>
      <c r="M26" s="60">
        <f>(1-food_insecure)*(0.21)+food_insecure*(0.3)</f>
        <v>0.22250999999999999</v>
      </c>
      <c r="N26" s="60">
        <f>(1-food_insecure)*(0.21)+food_insecure*(0.3)</f>
        <v>0.22250999999999999</v>
      </c>
      <c r="O26" s="60">
        <f>(1-food_insecure)*(0.21)+food_insecure*(0.3)</f>
        <v>0.22250999999999999</v>
      </c>
    </row>
    <row r="27" spans="1:15" ht="15.75" customHeight="1" x14ac:dyDescent="0.25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7.0478445396423325E-2</v>
      </c>
      <c r="M27" s="60">
        <f>(1-food_insecure)*(0.3)</f>
        <v>0.25829999999999997</v>
      </c>
      <c r="N27" s="60">
        <f>(1-food_insecure)*(0.3)</f>
        <v>0.25829999999999997</v>
      </c>
      <c r="O27" s="60">
        <f>(1-food_insecure)*(0.3)</f>
        <v>0.25829999999999997</v>
      </c>
    </row>
    <row r="28" spans="1:15" ht="15.75" customHeight="1" x14ac:dyDescent="0.25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0.72714500427246098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186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qRoGpOo7hYU3i5bSXhFXmYIZfa+tbfy2GpSzmF8VydE9bMkFGS5jT2VU2IqRfv469OCLLzmJ6k8XCwB87bpMSg==" saltValue="QO3HgLyftygnKnCS0opZc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201</v>
      </c>
    </row>
    <row r="2" spans="1:1" x14ac:dyDescent="0.25">
      <c r="A2" s="8" t="s">
        <v>212</v>
      </c>
    </row>
    <row r="3" spans="1:1" x14ac:dyDescent="0.25">
      <c r="A3" s="8" t="s">
        <v>213</v>
      </c>
    </row>
    <row r="4" spans="1:1" x14ac:dyDescent="0.25">
      <c r="A4" s="8" t="s">
        <v>214</v>
      </c>
    </row>
  </sheetData>
  <sheetProtection algorithmName="SHA-512" hashValue="nY2LykaT5JMQb8YMTL6XQXFTZOl1nsRIDz9zUN+TeyS+AosxoOC2lD4tVzGbfKWt1/B6s0XpTYEx26MR5a93rg==" saltValue="1yl1j3dEgoKnwo6N39+y5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4" customHeight="1" x14ac:dyDescent="0.3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O0WDZmYy/E2kWJdrQ+43ixx5fNWOmcmBzvkcxxw17R8IzNdyB0W/58Zmhe7bFzDuX0oQvskdSp7KMEdhK0obxw==" saltValue="SJhSa1j+ASLyWl3cXwajE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qOB9zfFs3JB1jiCv4ta+AXyIvhMu5nCphtQGRiStf8GxpNxVuiZe9rcoJpfSIH8RcZfVpJfAM6v1L/i3602IDg==" saltValue="cgwy9C4Czr7LShjjKTkagw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5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5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5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5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5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5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5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5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5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5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5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5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5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5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hMJVpsVtdrQChp8MCeTIkrTAYM2sdJuG8vqZI7n0Fx9zVch3h8vAUq1TkrwK6bmsZH04p6+FG6NPa4jk93fHfA==" saltValue="g4HSJL4z3ZaQ45MXerLqIg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5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5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5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5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5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5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5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5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5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5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5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5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5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M6nvO+IUO0wDYKQRnAtfj5PSqCFvE3MUizUbRaL0TTjGhz38hbVZppToS1dAASDjLv12cG+XWC+PP3gVlyM7iw==" saltValue="mBtl40eoZrVV/HZiV2wbK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ht="13" customHeight="1" x14ac:dyDescent="0.3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109</v>
      </c>
      <c r="C5" s="8" t="s">
        <v>153</v>
      </c>
      <c r="D5" s="88">
        <f>IF(ISBLANK('Dist. l''allaitement maternel'!$C$2),1.56,(1.56-'Dist. l''allaitement maternel'!$C$2)/(1-'Dist. l''allaitement maternel'!$C$2))</f>
        <v>2.1127929723981129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154</v>
      </c>
      <c r="D6" s="88">
        <f>IF(ISBLANK('Dist. l''allaitement maternel'!$C$2),1.56,(1.56-'Dist. l''allaitement maternel'!$C$2)/(1-'Dist. l''allaitement maternel'!$C$2))</f>
        <v>2.1127929723981129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96</v>
      </c>
      <c r="C8" s="8" t="s">
        <v>153</v>
      </c>
      <c r="D8" s="88">
        <v>1</v>
      </c>
      <c r="E8" s="88">
        <f>IF(ISBLANK('Dist. l''allaitement maternel'!$D$2),1.56,(1.56-'Dist. l''allaitement maternel'!$D$2)/(1-'Dist. l''allaitement maternel'!$D$2))</f>
        <v>1.7986680498836656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154</v>
      </c>
      <c r="D9" s="88">
        <v>1</v>
      </c>
      <c r="E9" s="88">
        <f>IF(ISBLANK('Dist. l''allaitement maternel'!$D$2),1.56,(1.56-'Dist. l''allaitement maternel'!$D$2)/(1-'Dist. l''allaitement maternel'!$D$2))</f>
        <v>1.7986680498836656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97</v>
      </c>
      <c r="C11" s="8" t="s">
        <v>153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154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ht="13" customHeight="1" x14ac:dyDescent="0.3">
      <c r="A55" s="4" t="s">
        <v>236</v>
      </c>
      <c r="B55" s="103" t="s">
        <v>100</v>
      </c>
      <c r="C55" s="8" t="s">
        <v>153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154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109</v>
      </c>
      <c r="C58" s="8" t="s">
        <v>153</v>
      </c>
      <c r="D58" s="88">
        <f>IF(ISBLANK('Dist. l''allaitement maternel'!$C$2),1.37,(1.37-'Dist. l''allaitement maternel'!$C$2)/(1-'Dist. l''allaitement maternel'!$C$2))</f>
        <v>1.7352382139058962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154</v>
      </c>
      <c r="D59" s="88">
        <f>IF(ISBLANK('Dist. l''allaitement maternel'!$C$2),1.37,(1.37-'Dist. l''allaitement maternel'!$C$2)/(1-'Dist. l''allaitement maternel'!$C$2))</f>
        <v>1.7352382139058962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96</v>
      </c>
      <c r="C61" s="8" t="s">
        <v>153</v>
      </c>
      <c r="D61" s="88">
        <f t="shared" si="2"/>
        <v>1</v>
      </c>
      <c r="E61" s="88">
        <f>IF(ISBLANK('Dist. l''allaitement maternel'!$D$2),1.37,(1.37-'Dist. l''allaitement maternel'!$D$2)/(1-'Dist. l''allaitement maternel'!$D$2))</f>
        <v>1.5276913901017077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154</v>
      </c>
      <c r="D62" s="88">
        <f t="shared" si="2"/>
        <v>1</v>
      </c>
      <c r="E62" s="88">
        <f>IF(ISBLANK('Dist. l''allaitement maternel'!$D$2),1.37,(1.37-'Dist. l''allaitement maternel'!$D$2)/(1-'Dist. l''allaitement maternel'!$D$2))</f>
        <v>1.5276913901017077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97</v>
      </c>
      <c r="C64" s="8" t="s">
        <v>153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154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98</v>
      </c>
      <c r="C67" s="8" t="s">
        <v>153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154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156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100</v>
      </c>
      <c r="C72" s="8" t="s">
        <v>153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154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109</v>
      </c>
      <c r="C75" s="8" t="s">
        <v>153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154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96</v>
      </c>
      <c r="C78" s="8" t="s">
        <v>153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154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97</v>
      </c>
      <c r="C81" s="8" t="s">
        <v>153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154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98</v>
      </c>
      <c r="C84" s="8" t="s">
        <v>153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154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156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100</v>
      </c>
      <c r="C89" s="8" t="s">
        <v>153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154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109</v>
      </c>
      <c r="C92" s="8" t="s">
        <v>153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154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96</v>
      </c>
      <c r="C95" s="8" t="s">
        <v>153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154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97</v>
      </c>
      <c r="C98" s="8" t="s">
        <v>153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154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98</v>
      </c>
      <c r="C101" s="8" t="s">
        <v>153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154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156</v>
      </c>
      <c r="C104" s="8" t="s">
        <v>155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ht="13" customHeight="1" x14ac:dyDescent="0.3">
      <c r="A108" s="4" t="s">
        <v>240</v>
      </c>
      <c r="B108" s="103" t="s">
        <v>100</v>
      </c>
      <c r="C108" s="8" t="s">
        <v>153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154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109</v>
      </c>
      <c r="C111" s="8" t="s">
        <v>153</v>
      </c>
      <c r="D111" s="88">
        <f>IF(ISBLANK('Dist. l''allaitement maternel'!$C$2),1.77,(1.77-'Dist. l''allaitement maternel'!$C$2)/(1-'Dist. l''allaitement maternel'!$C$2))</f>
        <v>2.530090337047405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154</v>
      </c>
      <c r="D112" s="88">
        <f>IF(ISBLANK('Dist. l''allaitement maternel'!$C$2),1.77,(1.77-'Dist. l''allaitement maternel'!$C$2)/(1-'Dist. l''allaitement maternel'!$C$2))</f>
        <v>2.530090337047405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96</v>
      </c>
      <c r="C114" s="8" t="s">
        <v>153</v>
      </c>
      <c r="D114" s="88">
        <f t="shared" si="12"/>
        <v>1</v>
      </c>
      <c r="E114" s="88">
        <f>IF(ISBLANK('Dist. l''allaitement maternel'!$D$2),1.77,(1.77-'Dist. l''allaitement maternel'!$D$2)/(1-'Dist. l''allaitement maternel'!$D$2))</f>
        <v>2.0981685685900402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154</v>
      </c>
      <c r="D115" s="88">
        <f t="shared" si="12"/>
        <v>1</v>
      </c>
      <c r="E115" s="88">
        <f>IF(ISBLANK('Dist. l''allaitement maternel'!$D$2),1.77,(1.77-'Dist. l''allaitement maternel'!$D$2)/(1-'Dist. l''allaitement maternel'!$D$2))</f>
        <v>2.0981685685900402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97</v>
      </c>
      <c r="C117" s="8" t="s">
        <v>153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154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98</v>
      </c>
      <c r="C120" s="8" t="s">
        <v>153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154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156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100</v>
      </c>
      <c r="C125" s="8" t="s">
        <v>153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154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109</v>
      </c>
      <c r="C128" s="8" t="s">
        <v>153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154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96</v>
      </c>
      <c r="C131" s="8" t="s">
        <v>153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154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97</v>
      </c>
      <c r="C134" s="8" t="s">
        <v>153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154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98</v>
      </c>
      <c r="C137" s="8" t="s">
        <v>153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154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156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100</v>
      </c>
      <c r="C142" s="8" t="s">
        <v>153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154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109</v>
      </c>
      <c r="C145" s="8" t="s">
        <v>153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154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96</v>
      </c>
      <c r="C148" s="8" t="s">
        <v>153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154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97</v>
      </c>
      <c r="C151" s="8" t="s">
        <v>153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154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98</v>
      </c>
      <c r="C154" s="8" t="s">
        <v>153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154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156</v>
      </c>
      <c r="C157" s="8" t="s">
        <v>155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OReDuxZaPhuf8Q9D+SyBkAiZCTIjrUvSfQKRwkI0W4w/3/vSUrmWuO86UAhPAM0oiExZGnmmfi1FY1KBlmjAGg==" saltValue="abwyTupxpp27uD2+/9zWvg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13" sqref="C1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245</v>
      </c>
      <c r="C11" s="74"/>
      <c r="D11" s="75"/>
      <c r="E11" s="75"/>
      <c r="F11" s="75"/>
    </row>
    <row r="12" spans="1:6" ht="15.75" customHeight="1" x14ac:dyDescent="0.3">
      <c r="A12" s="4" t="s">
        <v>246</v>
      </c>
      <c r="C12" s="73"/>
      <c r="D12" s="64"/>
      <c r="E12" s="64"/>
      <c r="F12" s="64"/>
    </row>
    <row r="13" spans="1:6" ht="15.75" customHeight="1" x14ac:dyDescent="0.25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5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79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80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81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37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38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39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40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262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3">
      <c r="A39" s="4" t="s">
        <v>251</v>
      </c>
      <c r="C39" s="73"/>
      <c r="D39" s="64"/>
      <c r="E39" s="64"/>
      <c r="F39" s="64"/>
    </row>
    <row r="40" spans="1:6" ht="15.75" customHeight="1" x14ac:dyDescent="0.25">
      <c r="B40" s="11" t="s">
        <v>256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257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258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5">
      <c r="B45" s="5" t="s">
        <v>78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79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80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81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82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83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84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85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3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5">
      <c r="B58" s="5" t="s">
        <v>37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38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39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40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263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3">
      <c r="A66" s="4" t="s">
        <v>254</v>
      </c>
      <c r="C66" s="73"/>
      <c r="D66" s="64"/>
      <c r="E66" s="64"/>
      <c r="F66" s="64"/>
    </row>
    <row r="67" spans="1:6" ht="15.75" customHeight="1" x14ac:dyDescent="0.25">
      <c r="B67" s="11" t="s">
        <v>259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260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261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5">
      <c r="B72" s="5" t="s">
        <v>78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79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80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81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82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83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84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85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ZWim8TzQnvdd+oO60XG0dGPkaRJvGDxpEs9N4ReGZHB1mFztOZR0+DL+krF75OH2DCaeTtjeZ8QLgwB22EUrXA==" saltValue="b4hK98GmfWYhrWkqBXEq6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278</v>
      </c>
    </row>
    <row r="29" spans="1:16" ht="13" customHeight="1" x14ac:dyDescent="0.3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271</v>
      </c>
    </row>
    <row r="56" spans="1:16" ht="26" customHeight="1" x14ac:dyDescent="0.3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275</v>
      </c>
    </row>
    <row r="65" spans="1:16" ht="26" customHeight="1" x14ac:dyDescent="0.3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78</v>
      </c>
      <c r="C66" s="3" t="s">
        <v>129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79</v>
      </c>
      <c r="C70" s="3" t="s">
        <v>129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80</v>
      </c>
      <c r="C74" s="3" t="s">
        <v>129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277</v>
      </c>
    </row>
    <row r="104" spans="1:16" ht="26" customHeight="1" x14ac:dyDescent="0.3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ht="13" customHeight="1" x14ac:dyDescent="0.3">
      <c r="A113" s="4"/>
      <c r="B113" s="8" t="s">
        <v>87</v>
      </c>
      <c r="C113" s="3" t="s">
        <v>10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267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268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269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88</v>
      </c>
      <c r="C117" s="3" t="s">
        <v>10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267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268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269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10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267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268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269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91</v>
      </c>
      <c r="C125" s="3" t="s">
        <v>10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267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268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269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89</v>
      </c>
      <c r="C129" s="3" t="s">
        <v>10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267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268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269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95</v>
      </c>
      <c r="C133" s="3" t="s">
        <v>10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267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268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269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ht="13" customHeight="1" x14ac:dyDescent="0.3">
      <c r="A140" s="4"/>
      <c r="B140" s="8" t="s">
        <v>87</v>
      </c>
      <c r="C140" s="3" t="s">
        <v>10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267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209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208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88</v>
      </c>
      <c r="C144" s="3" t="s">
        <v>10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267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209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208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10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267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209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208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91</v>
      </c>
      <c r="C152" s="3" t="s">
        <v>10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267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209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208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89</v>
      </c>
      <c r="C156" s="3" t="s">
        <v>10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267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209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208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95</v>
      </c>
      <c r="C160" s="3" t="s">
        <v>10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267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209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208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ht="13" customHeight="1" x14ac:dyDescent="0.3">
      <c r="A167" s="4"/>
      <c r="B167" s="8" t="s">
        <v>101</v>
      </c>
      <c r="C167" s="3" t="s">
        <v>273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274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102</v>
      </c>
      <c r="C169" s="3" t="s">
        <v>273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274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273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274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ht="13" customHeight="1" x14ac:dyDescent="0.3">
      <c r="A176" s="82"/>
      <c r="B176" s="8" t="s">
        <v>78</v>
      </c>
      <c r="C176" s="3" t="s">
        <v>129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130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131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132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79</v>
      </c>
      <c r="C180" s="3" t="s">
        <v>129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130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131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132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80</v>
      </c>
      <c r="C184" s="3" t="s">
        <v>129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130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131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132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82</v>
      </c>
      <c r="C188" s="3" t="s">
        <v>129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130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131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132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87</v>
      </c>
      <c r="C192" s="3" t="s">
        <v>129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130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131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132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88</v>
      </c>
      <c r="C196" s="3" t="s">
        <v>129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130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131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132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130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131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132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89</v>
      </c>
      <c r="C204" s="3" t="s">
        <v>129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130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131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132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92</v>
      </c>
      <c r="C208" s="3" t="s">
        <v>129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130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131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132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ht="13" customHeight="1" x14ac:dyDescent="0.3">
      <c r="A215" s="4"/>
      <c r="C215" s="3" t="s">
        <v>129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130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131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132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ht="13" customHeight="1" x14ac:dyDescent="0.3">
      <c r="A223" s="4"/>
      <c r="B223" s="8" t="s">
        <v>87</v>
      </c>
      <c r="C223" s="3" t="s">
        <v>10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267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268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269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88</v>
      </c>
      <c r="C227" s="3" t="s">
        <v>10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267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268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269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10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267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268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269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91</v>
      </c>
      <c r="C235" s="3" t="s">
        <v>10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267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268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269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89</v>
      </c>
      <c r="C239" s="3" t="s">
        <v>10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267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268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269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95</v>
      </c>
      <c r="C243" s="3" t="s">
        <v>10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267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268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269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ht="13" customHeight="1" x14ac:dyDescent="0.3">
      <c r="A250" s="4"/>
      <c r="B250" s="8" t="s">
        <v>87</v>
      </c>
      <c r="C250" s="3" t="s">
        <v>10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267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209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208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88</v>
      </c>
      <c r="C254" s="3" t="s">
        <v>10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267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209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208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10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267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209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208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91</v>
      </c>
      <c r="C262" s="3" t="s">
        <v>10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267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209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208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89</v>
      </c>
      <c r="C266" s="3" t="s">
        <v>10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267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209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208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95</v>
      </c>
      <c r="C270" s="3" t="s">
        <v>10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267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209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208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ht="13" customHeight="1" x14ac:dyDescent="0.3">
      <c r="A277" s="4"/>
      <c r="B277" s="8" t="s">
        <v>101</v>
      </c>
      <c r="C277" s="3" t="s">
        <v>273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274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102</v>
      </c>
      <c r="C279" s="3" t="s">
        <v>273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274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273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274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ht="13" customHeight="1" x14ac:dyDescent="0.3">
      <c r="A286" s="82"/>
      <c r="B286" s="8" t="s">
        <v>78</v>
      </c>
      <c r="C286" s="3" t="s">
        <v>129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130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131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132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79</v>
      </c>
      <c r="C290" s="3" t="s">
        <v>129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130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131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132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80</v>
      </c>
      <c r="C294" s="3" t="s">
        <v>129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130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131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132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82</v>
      </c>
      <c r="C298" s="3" t="s">
        <v>129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130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131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132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87</v>
      </c>
      <c r="C302" s="3" t="s">
        <v>129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130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131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132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88</v>
      </c>
      <c r="C306" s="3" t="s">
        <v>129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130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131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132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130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131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132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89</v>
      </c>
      <c r="C314" s="3" t="s">
        <v>129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130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131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132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92</v>
      </c>
      <c r="C318" s="3" t="s">
        <v>129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130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131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132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ht="13" customHeight="1" x14ac:dyDescent="0.3">
      <c r="A325" s="4"/>
      <c r="C325" s="3" t="s">
        <v>129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130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131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132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iWsGDcDsZQP6JeNgUlRxzOzqkW2cBye6eOQ2F9d4DcNKE0ckyDBfJgkwPAYR5UzHIg4WOIcdngoUS31XzUTwaQ==" saltValue="pSFqJLYwTc0Z9VqEFcF8q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233</v>
      </c>
    </row>
    <row r="2" spans="1:7" ht="14.25" customHeight="1" x14ac:dyDescent="0.3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5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282</v>
      </c>
    </row>
    <row r="6" spans="1:7" ht="14.25" customHeight="1" x14ac:dyDescent="0.25">
      <c r="B6" s="5" t="s">
        <v>192</v>
      </c>
      <c r="C6" s="90">
        <v>1</v>
      </c>
      <c r="D6" s="90">
        <v>1</v>
      </c>
      <c r="E6" s="90">
        <f>IF(ISBLANK('Dist. de l''état nutritionnel'!$E$4),0.64, (0.64*SUM('Dist. de l''état nutritionnel'!$E$4:$E$5)/(1-0.64*SUM('Dist. de l''état nutritionnel'!$E$4:$E$5)))/ (SUM('Dist. de l''état nutritionnel'!$E$4:$E$5)/(1-SUM('Dist. de l''état nutritionnel'!$E$4:$E$5))))</f>
        <v>0.62580400158229244</v>
      </c>
      <c r="F6" s="90">
        <f>IF(ISBLANK('Dist. de l''état nutritionnel'!$E$4),0.64, (0.64*SUM('Dist. de l''état nutritionnel'!$E$4:$E$5)/(1-0.64*SUM('Dist. de l''état nutritionnel'!$E$4:$E$5)))/ (SUM('Dist. de l''état nutritionnel'!$E$4:$E$5)/(1-SUM('Dist. de l''état nutritionnel'!$E$4:$E$5))))</f>
        <v>0.62580400158229244</v>
      </c>
      <c r="G6" s="90">
        <v>1</v>
      </c>
    </row>
    <row r="7" spans="1:7" ht="14.25" customHeight="1" x14ac:dyDescent="0.25">
      <c r="B7" s="5" t="s">
        <v>185</v>
      </c>
      <c r="C7" s="90">
        <v>1</v>
      </c>
      <c r="D7" s="90">
        <v>1</v>
      </c>
      <c r="E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0.87339584174592022</v>
      </c>
      <c r="F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0.87339584174592022</v>
      </c>
      <c r="G7" s="90">
        <v>1</v>
      </c>
    </row>
    <row r="8" spans="1:7" ht="14.25" customHeight="1" x14ac:dyDescent="0.25">
      <c r="B8" s="5" t="s">
        <v>205</v>
      </c>
      <c r="C8" s="90">
        <v>1</v>
      </c>
      <c r="D8" s="90">
        <v>1</v>
      </c>
      <c r="E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0.87339584174592022</v>
      </c>
      <c r="F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0.87339584174592022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283</v>
      </c>
    </row>
    <row r="15" spans="1:7" ht="14.25" customHeight="1" x14ac:dyDescent="0.3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288</v>
      </c>
    </row>
    <row r="20" spans="1:7" s="14" customFormat="1" ht="14.25" customHeight="1" x14ac:dyDescent="0.3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5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233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5">
      <c r="B26" s="11" t="s">
        <v>289</v>
      </c>
      <c r="C26" s="90" t="s">
        <v>11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290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291</v>
      </c>
    </row>
    <row r="29" spans="1:7" x14ac:dyDescent="0.25">
      <c r="B29" s="5" t="s">
        <v>292</v>
      </c>
      <c r="C29" s="90">
        <f t="shared" ref="C29:D32" si="0">IF(C6=1,1,C6*0.9)</f>
        <v>1</v>
      </c>
      <c r="D29" s="90">
        <f t="shared" si="0"/>
        <v>1</v>
      </c>
      <c r="E29" s="90">
        <f>IF(ISBLANK('Dist. de l''état nutritionnel'!$E$4),0.44, (0.44*SUM('Dist. de l''état nutritionnel'!$E$4:$E$5)/(1-0.44*SUM('Dist. de l''état nutritionnel'!$E$4:$E$5)))/ (SUM('Dist. de l''état nutritionnel'!$E$4:$E$5)/(1-SUM('Dist. de l''état nutritionnel'!$E$4:$E$5))))</f>
        <v>0.42500297542236004</v>
      </c>
      <c r="F29" s="90">
        <f>IF(ISBLANK('Dist. de l''état nutritionnel'!$E$4),0.44, (0.44*SUM('Dist. de l''état nutritionnel'!$E$4:$E$5)/(1-0.44*SUM('Dist. de l''état nutritionnel'!$E$4:$E$5)))/ (SUM('Dist. de l''état nutritionnel'!$E$4:$E$5)/(1-SUM('Dist. de l''état nutritionnel'!$E$4:$E$5))))</f>
        <v>0.42500297542236004</v>
      </c>
      <c r="G29" s="90">
        <f>IF(G6=1,1,G6*0.9)</f>
        <v>1</v>
      </c>
    </row>
    <row r="30" spans="1:7" x14ac:dyDescent="0.25">
      <c r="B30" s="5" t="s">
        <v>293</v>
      </c>
      <c r="C30" s="90">
        <f t="shared" si="0"/>
        <v>1</v>
      </c>
      <c r="D30" s="90">
        <f t="shared" si="0"/>
        <v>1</v>
      </c>
      <c r="E30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0.84204116160467113</v>
      </c>
      <c r="F30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0.84204116160467113</v>
      </c>
      <c r="G30" s="90">
        <f>IF(G7=1,1,G7*0.9)</f>
        <v>1</v>
      </c>
    </row>
    <row r="31" spans="1:7" x14ac:dyDescent="0.25">
      <c r="B31" s="5" t="s">
        <v>315</v>
      </c>
      <c r="C31" s="90">
        <f t="shared" si="0"/>
        <v>1</v>
      </c>
      <c r="D31" s="90">
        <f t="shared" si="0"/>
        <v>1</v>
      </c>
      <c r="E31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0.84204116160467113</v>
      </c>
      <c r="F31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0.84204116160467113</v>
      </c>
      <c r="G31" s="90">
        <f>IF(G8=1,1,G8*0.9)</f>
        <v>1</v>
      </c>
    </row>
    <row r="32" spans="1:7" x14ac:dyDescent="0.25">
      <c r="B32" s="5" t="s">
        <v>294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295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283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279</v>
      </c>
      <c r="B38" s="5" t="s">
        <v>297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298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121</v>
      </c>
      <c r="B40" s="11" t="s">
        <v>299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300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5">
      <c r="B44" s="11" t="s">
        <v>301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233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5">
      <c r="B49" s="11" t="s">
        <v>302</v>
      </c>
      <c r="C49" s="90" t="s">
        <v>11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303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304</v>
      </c>
    </row>
    <row r="52" spans="1:7" x14ac:dyDescent="0.25">
      <c r="B52" s="5" t="s">
        <v>305</v>
      </c>
      <c r="C52" s="90">
        <f t="shared" ref="C52:D55" si="3">IF(C6=1,1,C6*1.1)</f>
        <v>1</v>
      </c>
      <c r="D52" s="90">
        <f t="shared" si="3"/>
        <v>1</v>
      </c>
      <c r="E52" s="90">
        <f>IF(ISBLANK('Dist. de l''état nutritionnel'!$E$4),0.92, (0.92*SUM('Dist. de l''état nutritionnel'!$E$4:$E$5)/(1-0.92*SUM('Dist. de l''état nutritionnel'!$E$4:$E$5)))/ (SUM('Dist. de l''état nutritionnel'!$E$4:$E$5)/(1-SUM('Dist. de l''état nutritionnel'!$E$4:$E$5))))</f>
        <v>0.91538555845085168</v>
      </c>
      <c r="F52" s="90">
        <f>IF(ISBLANK('Dist. de l''état nutritionnel'!$E$4),0.92, (0.92*SUM('Dist. de l''état nutritionnel'!$E$4:$E$5)/(1-0.92*SUM('Dist. de l''état nutritionnel'!$E$4:$E$5)))/ (SUM('Dist. de l''état nutritionnel'!$E$4:$E$5)/(1-SUM('Dist. de l''état nutritionnel'!$E$4:$E$5))))</f>
        <v>0.91538555845085168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0.90486839717306711</v>
      </c>
      <c r="F53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0.90486839717306711</v>
      </c>
      <c r="G53" s="90">
        <f>IF(G7=1,1,G7*1.1)</f>
        <v>1</v>
      </c>
    </row>
    <row r="54" spans="1:7" x14ac:dyDescent="0.25">
      <c r="B54" s="5" t="s">
        <v>316</v>
      </c>
      <c r="C54" s="90">
        <f t="shared" si="3"/>
        <v>1</v>
      </c>
      <c r="D54" s="90">
        <f t="shared" si="3"/>
        <v>1</v>
      </c>
      <c r="E54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0.90486839717306711</v>
      </c>
      <c r="F54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0.90486839717306711</v>
      </c>
      <c r="G54" s="90">
        <f>IF(G8=1,1,G8*1.1)</f>
        <v>1</v>
      </c>
    </row>
    <row r="55" spans="1:7" x14ac:dyDescent="0.25">
      <c r="B55" s="5" t="s">
        <v>307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308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283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279</v>
      </c>
      <c r="B61" s="5" t="s">
        <v>310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311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121</v>
      </c>
      <c r="B63" s="11" t="s">
        <v>312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313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5">
      <c r="B67" s="11" t="s">
        <v>314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3FKbnHvanQ4QXytyxmkqEQBAhZGyxv8IvyZRPBwHhBz/oEAOqVRnP2vlboEE/P+BLkXCPP/4IahDpkq3IlX/SQ==" saltValue="xPj3LEfm+sRgA6sKzZ8S5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5">
      <c r="A2" s="5" t="s">
        <v>168</v>
      </c>
      <c r="B2" s="5" t="s">
        <v>317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180</v>
      </c>
      <c r="B4" s="5" t="s">
        <v>317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181</v>
      </c>
      <c r="B6" s="5" t="s">
        <v>317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190</v>
      </c>
      <c r="B12" s="5" t="s">
        <v>317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5">
      <c r="A17" s="5" t="s">
        <v>168</v>
      </c>
      <c r="B17" s="5" t="s">
        <v>317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318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180</v>
      </c>
      <c r="B19" s="5" t="s">
        <v>317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318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181</v>
      </c>
      <c r="B21" s="5" t="s">
        <v>317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318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182</v>
      </c>
      <c r="B23" s="5" t="s">
        <v>317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318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186</v>
      </c>
      <c r="B25" s="5" t="s">
        <v>317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318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190</v>
      </c>
      <c r="B27" s="5" t="s">
        <v>317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318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5">
      <c r="A32" s="5" t="s">
        <v>168</v>
      </c>
      <c r="B32" s="5" t="s">
        <v>317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318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180</v>
      </c>
      <c r="B34" s="5" t="s">
        <v>317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318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181</v>
      </c>
      <c r="B36" s="5" t="s">
        <v>317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318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182</v>
      </c>
      <c r="B38" s="5" t="s">
        <v>317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318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186</v>
      </c>
      <c r="B40" s="5" t="s">
        <v>317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318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190</v>
      </c>
      <c r="B42" s="5" t="s">
        <v>317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318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NLxZmxsqxb2Tu5xv194jJlzVfMXGC2Uvi6xrnV1KgHnGE6jSFqYodgKdAKLIdEtdUKoQv8UUG7vtv9vFYs92jg==" saltValue="OAJ0ZS3F/UicwrY0eokS8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ht="13" customHeight="1" x14ac:dyDescent="0.3">
      <c r="A2" s="4" t="s">
        <v>319</v>
      </c>
    </row>
    <row r="3" spans="1:15" x14ac:dyDescent="0.25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205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320</v>
      </c>
      <c r="B17" s="11"/>
    </row>
    <row r="18" spans="1:15" x14ac:dyDescent="0.25">
      <c r="B18" s="5" t="s">
        <v>173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174</v>
      </c>
      <c r="C19" s="90">
        <v>1</v>
      </c>
      <c r="D19" s="90">
        <v>1</v>
      </c>
      <c r="E19" s="90">
        <f>IF(ISBLANK('Dist. de l''état nutritionnel'!E$14),0.72,(0.72*'Dist. de l''état nutritionnel'!E$14/(1-0.72*'Dist. de l''état nutritionnel'!E$14))
/ ('Dist. de l''état nutritionnel'!E$14/(1-'Dist. de l''état nutritionnel'!E$14)))</f>
        <v>0.60275401354047586</v>
      </c>
      <c r="F19" s="90">
        <f>IF(ISBLANK('Dist. de l''état nutritionnel'!F$14),0.72,(0.72*'Dist. de l''état nutritionnel'!F$14/(1-0.72*'Dist. de l''état nutritionnel'!F$14))
/ ('Dist. de l''état nutritionnel'!F$14/(1-'Dist. de l''état nutritionnel'!F$14)))</f>
        <v>0.62753238393567001</v>
      </c>
      <c r="G19" s="90">
        <f>IF(ISBLANK('Dist. de l''état nutritionnel'!G$14),0.72,(0.72*'Dist. de l''état nutritionnel'!G$14/(1-0.72*'Dist. de l''état nutritionnel'!G$14))
/ ('Dist. de l''état nutritionnel'!G$14/(1-'Dist. de l''état nutritionnel'!G$14)))</f>
        <v>0.62753238393567001</v>
      </c>
      <c r="H19" s="90">
        <f>IF(ISBLANK('Dist. de l''état nutritionnel'!H$14),0.72,(0.72*'Dist. de l''état nutritionnel'!H$14/(1-0.72*'Dist. de l''état nutritionnel'!H$14))
/ ('Dist. de l''état nutritionnel'!H$14/(1-'Dist. de l''état nutritionnel'!H$14)))</f>
        <v>0.66928092223377122</v>
      </c>
      <c r="I19" s="90">
        <f>IF(ISBLANK('Dist. de l''état nutritionnel'!I$14),0.72,(0.72*'Dist. de l''état nutritionnel'!I$14/(1-0.72*'Dist. de l''état nutritionnel'!I$14))
/ ('Dist. de l''état nutritionnel'!I$14/(1-'Dist. de l''état nutritionnel'!I$14)))</f>
        <v>0.66928092223377122</v>
      </c>
      <c r="J19" s="90">
        <f>IF(ISBLANK('Dist. de l''état nutritionnel'!J$14),0.72,(0.72*'Dist. de l''état nutritionnel'!J$14/(1-0.72*'Dist. de l''état nutritionnel'!J$14))
/ ('Dist. de l''état nutritionnel'!J$14/(1-'Dist. de l''état nutritionnel'!J$14)))</f>
        <v>0.66928092223377122</v>
      </c>
      <c r="K19" s="90">
        <f>IF(ISBLANK('Dist. de l''état nutritionnel'!K$14),0.72,(0.72*'Dist. de l''état nutritionnel'!K$14/(1-0.72*'Dist. de l''état nutritionnel'!K$14))
/ ('Dist. de l''état nutritionnel'!K$14/(1-'Dist. de l''état nutritionnel'!K$14)))</f>
        <v>0.66928092223377122</v>
      </c>
      <c r="L19" s="90">
        <f>IF(ISBLANK('Dist. de l''état nutritionnel'!L$14),0.72,(0.72*'Dist. de l''état nutritionnel'!L$14/(1-0.72*'Dist. de l''état nutritionnel'!L$14))
/ ('Dist. de l''état nutritionnel'!L$14/(1-'Dist. de l''état nutritionnel'!L$14)))</f>
        <v>0.6681520811605195</v>
      </c>
      <c r="M19" s="90">
        <f>IF(ISBLANK('Dist. de l''état nutritionnel'!M$14),0.72,(0.72*'Dist. de l''état nutritionnel'!M$14/(1-0.72*'Dist. de l''état nutritionnel'!M$14))
/ ('Dist. de l''état nutritionnel'!M$14/(1-'Dist. de l''état nutritionnel'!M$14)))</f>
        <v>0.6681520811605195</v>
      </c>
      <c r="N19" s="90">
        <f>IF(ISBLANK('Dist. de l''état nutritionnel'!N$14),0.72,(0.72*'Dist. de l''état nutritionnel'!N$14/(1-0.72*'Dist. de l''état nutritionnel'!N$14))
/ ('Dist. de l''état nutritionnel'!N$14/(1-'Dist. de l''état nutritionnel'!N$14)))</f>
        <v>0.6681520811605195</v>
      </c>
      <c r="O19" s="90">
        <f>IF(ISBLANK('Dist. de l''état nutritionnel'!O$14),0.72,(0.72*'Dist. de l''état nutritionnel'!O$14/(1-0.72*'Dist. de l''état nutritionnel'!O$14))
/ ('Dist. de l''état nutritionnel'!O$14/(1-'Dist. de l''état nutritionnel'!O$14)))</f>
        <v>0.6681520811605195</v>
      </c>
    </row>
    <row r="20" spans="1:15" x14ac:dyDescent="0.25">
      <c r="B20" s="5" t="s">
        <v>175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183</v>
      </c>
      <c r="C21" s="90">
        <v>1</v>
      </c>
      <c r="D21" s="90">
        <v>1</v>
      </c>
      <c r="E21" s="90">
        <f>IF(ISBLANK('Dist. de l''état nutritionnel'!E$14),0.8,(0.8*'Dist. de l''état nutritionnel'!E$14/(1-0.8*'Dist. de l''état nutritionnel'!E$14))
/ ('Dist. de l''état nutritionnel'!E$14/(1-'Dist. de l''état nutritionnel'!E$14)))</f>
        <v>0.70240699980206345</v>
      </c>
      <c r="F21" s="90">
        <f>IF(ISBLANK('Dist. de l''état nutritionnel'!F$14),0.8,(0.8*'Dist. de l''état nutritionnel'!F$14/(1-0.8*'Dist. de l''état nutritionnel'!F$14))
/ ('Dist. de l''état nutritionnel'!F$14/(1-'Dist. de l''état nutritionnel'!F$14)))</f>
        <v>0.72381760451375277</v>
      </c>
      <c r="G21" s="90">
        <f>IF(ISBLANK('Dist. de l''état nutritionnel'!G$14),0.8,(0.8*'Dist. de l''état nutritionnel'!G$14/(1-0.8*'Dist. de l''état nutritionnel'!G$14))
/ ('Dist. de l''état nutritionnel'!G$14/(1-'Dist. de l''état nutritionnel'!G$14)))</f>
        <v>0.72381760451375277</v>
      </c>
      <c r="H21" s="90">
        <f>IF(ISBLANK('Dist. de l''état nutritionnel'!H$14),0.8,(0.8*'Dist. de l''état nutritionnel'!H$14/(1-0.8*'Dist. de l''état nutritionnel'!H$14))
/ ('Dist. de l''état nutritionnel'!H$14/(1-'Dist. de l''état nutritionnel'!H$14)))</f>
        <v>0.75891996142719398</v>
      </c>
      <c r="I21" s="90">
        <f>IF(ISBLANK('Dist. de l''état nutritionnel'!I$14),0.8,(0.8*'Dist. de l''état nutritionnel'!I$14/(1-0.8*'Dist. de l''état nutritionnel'!I$14))
/ ('Dist. de l''état nutritionnel'!I$14/(1-'Dist. de l''état nutritionnel'!I$14)))</f>
        <v>0.75891996142719398</v>
      </c>
      <c r="J21" s="90">
        <f>IF(ISBLANK('Dist. de l''état nutritionnel'!J$14),0.8,(0.8*'Dist. de l''état nutritionnel'!J$14/(1-0.8*'Dist. de l''état nutritionnel'!J$14))
/ ('Dist. de l''état nutritionnel'!J$14/(1-'Dist. de l''état nutritionnel'!J$14)))</f>
        <v>0.75891996142719398</v>
      </c>
      <c r="K21" s="90">
        <f>IF(ISBLANK('Dist. de l''état nutritionnel'!K$14),0.8,(0.8*'Dist. de l''état nutritionnel'!K$14/(1-0.8*'Dist. de l''état nutritionnel'!K$14))
/ ('Dist. de l''état nutritionnel'!K$14/(1-'Dist. de l''état nutritionnel'!K$14)))</f>
        <v>0.75891996142719398</v>
      </c>
      <c r="L21" s="90">
        <f>IF(ISBLANK('Dist. de l''état nutritionnel'!L$14),0.8,(0.8*'Dist. de l''état nutritionnel'!L$14/(1-0.8*'Dist. de l''état nutritionnel'!L$14))
/ ('Dist. de l''état nutritionnel'!L$14/(1-'Dist. de l''état nutritionnel'!L$14)))</f>
        <v>0.75798644724104558</v>
      </c>
      <c r="M21" s="90">
        <f>IF(ISBLANK('Dist. de l''état nutritionnel'!M$14),0.8,(0.8*'Dist. de l''état nutritionnel'!M$14/(1-0.8*'Dist. de l''état nutritionnel'!M$14))
/ ('Dist. de l''état nutritionnel'!M$14/(1-'Dist. de l''état nutritionnel'!M$14)))</f>
        <v>0.75798644724104558</v>
      </c>
      <c r="N21" s="90">
        <f>IF(ISBLANK('Dist. de l''état nutritionnel'!N$14),0.8,(0.8*'Dist. de l''état nutritionnel'!N$14/(1-0.8*'Dist. de l''état nutritionnel'!N$14))
/ ('Dist. de l''état nutritionnel'!N$14/(1-'Dist. de l''état nutritionnel'!N$14)))</f>
        <v>0.75798644724104558</v>
      </c>
      <c r="O21" s="90">
        <f>IF(ISBLANK('Dist. de l''état nutritionnel'!O$14),0.8,(0.8*'Dist. de l''état nutritionnel'!O$14/(1-0.8*'Dist. de l''état nutritionnel'!O$14))
/ ('Dist. de l''état nutritionnel'!O$14/(1-'Dist. de l''état nutritionnel'!O$14)))</f>
        <v>0.75798644724104558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ht="13" customHeight="1" x14ac:dyDescent="0.3">
      <c r="A25" s="4" t="s">
        <v>321</v>
      </c>
    </row>
    <row r="26" spans="1:15" x14ac:dyDescent="0.25">
      <c r="B26" s="11" t="s">
        <v>171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176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177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178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179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180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181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182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185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186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189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190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205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323</v>
      </c>
      <c r="B40" s="11"/>
    </row>
    <row r="41" spans="1:15" x14ac:dyDescent="0.25">
      <c r="B41" s="5" t="s">
        <v>173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174</v>
      </c>
      <c r="C42" s="90">
        <f t="shared" ref="C42:D44" si="14">IF(C19=1,1,C19*0.9)</f>
        <v>1</v>
      </c>
      <c r="D42" s="90">
        <f t="shared" si="14"/>
        <v>1</v>
      </c>
      <c r="E42" s="90">
        <f>IF(ISBLANK('Dist. de l''état nutritionnel'!E$14),0.54,(0.54*'Dist. de l''état nutritionnel'!E$14/(1-0.54*'Dist. de l''état nutritionnel'!E$14))
/ ('Dist. de l''état nutritionnel'!E$14/(1-'Dist. de l''état nutritionnel'!E$14)))</f>
        <v>0.40922611745369653</v>
      </c>
      <c r="F42" s="90">
        <f>IF(ISBLANK('Dist. de l''état nutritionnel'!F$14),0.54,(0.54*'Dist. de l''état nutritionnel'!F$14/(1-0.54*'Dist. de l''état nutritionnel'!F$14))
/ ('Dist. de l''état nutritionnel'!F$14/(1-'Dist. de l''état nutritionnel'!F$14)))</f>
        <v>0.43475569617027621</v>
      </c>
      <c r="G42" s="90">
        <f>IF(ISBLANK('Dist. de l''état nutritionnel'!G$14),0.54,(0.54*'Dist. de l''état nutritionnel'!G$14/(1-0.54*'Dist. de l''état nutritionnel'!G$14))
/ ('Dist. de l''état nutritionnel'!G$14/(1-'Dist. de l''état nutritionnel'!G$14)))</f>
        <v>0.43475569617027621</v>
      </c>
      <c r="H42" s="90">
        <f>IF(ISBLANK('Dist. de l''état nutritionnel'!H$14),0.54,(0.54*'Dist. de l''état nutritionnel'!H$14/(1-0.54*'Dist. de l''état nutritionnel'!H$14))
/ ('Dist. de l''état nutritionnel'!H$14/(1-'Dist. de l''état nutritionnel'!H$14)))</f>
        <v>0.48021424212976577</v>
      </c>
      <c r="I42" s="90">
        <f>IF(ISBLANK('Dist. de l''état nutritionnel'!I$14),0.54,(0.54*'Dist. de l''état nutritionnel'!I$14/(1-0.54*'Dist. de l''état nutritionnel'!I$14))
/ ('Dist. de l''état nutritionnel'!I$14/(1-'Dist. de l''état nutritionnel'!I$14)))</f>
        <v>0.48021424212976577</v>
      </c>
      <c r="J42" s="90">
        <f>IF(ISBLANK('Dist. de l''état nutritionnel'!J$14),0.54,(0.54*'Dist. de l''état nutritionnel'!J$14/(1-0.54*'Dist. de l''état nutritionnel'!J$14))
/ ('Dist. de l''état nutritionnel'!J$14/(1-'Dist. de l''état nutritionnel'!J$14)))</f>
        <v>0.48021424212976577</v>
      </c>
      <c r="K42" s="90">
        <f>IF(ISBLANK('Dist. de l''état nutritionnel'!K$14),0.54,(0.54*'Dist. de l''état nutritionnel'!K$14/(1-0.54*'Dist. de l''état nutritionnel'!K$14))
/ ('Dist. de l''état nutritionnel'!K$14/(1-'Dist. de l''état nutritionnel'!K$14)))</f>
        <v>0.48021424212976577</v>
      </c>
      <c r="L42" s="90">
        <f>IF(ISBLANK('Dist. de l''état nutritionnel'!L$14),0.54,(0.54*'Dist. de l''état nutritionnel'!L$14/(1-0.54*'Dist. de l''état nutritionnel'!L$14))
/ ('Dist. de l''état nutritionnel'!L$14/(1-'Dist. de l''état nutritionnel'!L$14)))</f>
        <v>0.47894247978070281</v>
      </c>
      <c r="M42" s="90">
        <f>IF(ISBLANK('Dist. de l''état nutritionnel'!M$14),0.54,(0.54*'Dist. de l''état nutritionnel'!M$14/(1-0.54*'Dist. de l''état nutritionnel'!M$14))
/ ('Dist. de l''état nutritionnel'!M$14/(1-'Dist. de l''état nutritionnel'!M$14)))</f>
        <v>0.47894247978070281</v>
      </c>
      <c r="N42" s="90">
        <f>IF(ISBLANK('Dist. de l''état nutritionnel'!N$14),0.54,(0.54*'Dist. de l''état nutritionnel'!N$14/(1-0.54*'Dist. de l''état nutritionnel'!N$14))
/ ('Dist. de l''état nutritionnel'!N$14/(1-'Dist. de l''état nutritionnel'!N$14)))</f>
        <v>0.47894247978070281</v>
      </c>
      <c r="O42" s="90">
        <f>IF(ISBLANK('Dist. de l''état nutritionnel'!O$14),0.54,(0.54*'Dist. de l''état nutritionnel'!O$14/(1-0.54*'Dist. de l''état nutritionnel'!O$14))
/ ('Dist. de l''état nutritionnel'!O$14/(1-'Dist. de l''état nutritionnel'!O$14)))</f>
        <v>0.47894247978070281</v>
      </c>
    </row>
    <row r="43" spans="1:15" x14ac:dyDescent="0.25">
      <c r="B43" s="5" t="s">
        <v>175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183</v>
      </c>
      <c r="C44" s="90">
        <f t="shared" si="14"/>
        <v>1</v>
      </c>
      <c r="D44" s="90">
        <f t="shared" si="14"/>
        <v>1</v>
      </c>
      <c r="E44" s="90">
        <f>IF(ISBLANK('Dist. de l''état nutritionnel'!E$14),0.7,(0.7*'Dist. de l''état nutritionnel'!E$14/(1-0.7*'Dist. de l''état nutritionnel'!E$14))
/ ('Dist. de l''état nutritionnel'!E$14/(1-'Dist. de l''état nutritionnel'!E$14)))</f>
        <v>0.57927300572530027</v>
      </c>
      <c r="F44" s="90">
        <f>IF(ISBLANK('Dist. de l''état nutritionnel'!F$14),0.7,(0.7*'Dist. de l''état nutritionnel'!F$14/(1-0.7*'Dist. de l''état nutritionnel'!F$14))
/ ('Dist. de l''état nutritionnel'!F$14/(1-'Dist. de l''état nutritionnel'!F$14)))</f>
        <v>0.60455511825447283</v>
      </c>
      <c r="G44" s="90">
        <f>IF(ISBLANK('Dist. de l''état nutritionnel'!G$14),0.7,(0.7*'Dist. de l''état nutritionnel'!G$14/(1-0.7*'Dist. de l''état nutritionnel'!G$14))
/ ('Dist. de l''état nutritionnel'!G$14/(1-'Dist. de l''état nutritionnel'!G$14)))</f>
        <v>0.60455511825447283</v>
      </c>
      <c r="H44" s="90">
        <f>IF(ISBLANK('Dist. de l''état nutritionnel'!H$14),0.7,(0.7*'Dist. de l''état nutritionnel'!H$14/(1-0.7*'Dist. de l''état nutritionnel'!H$14))
/ ('Dist. de l''état nutritionnel'!H$14/(1-'Dist. de l''état nutritionnel'!H$14)))</f>
        <v>0.64743213068515693</v>
      </c>
      <c r="I44" s="90">
        <f>IF(ISBLANK('Dist. de l''état nutritionnel'!I$14),0.7,(0.7*'Dist. de l''état nutritionnel'!I$14/(1-0.7*'Dist. de l''état nutritionnel'!I$14))
/ ('Dist. de l''état nutritionnel'!I$14/(1-'Dist. de l''état nutritionnel'!I$14)))</f>
        <v>0.64743213068515693</v>
      </c>
      <c r="J44" s="90">
        <f>IF(ISBLANK('Dist. de l''état nutritionnel'!J$14),0.7,(0.7*'Dist. de l''état nutritionnel'!J$14/(1-0.7*'Dist. de l''état nutritionnel'!J$14))
/ ('Dist. de l''état nutritionnel'!J$14/(1-'Dist. de l''état nutritionnel'!J$14)))</f>
        <v>0.64743213068515693</v>
      </c>
      <c r="K44" s="90">
        <f>IF(ISBLANK('Dist. de l''état nutritionnel'!K$14),0.7,(0.7*'Dist. de l''état nutritionnel'!K$14/(1-0.7*'Dist. de l''état nutritionnel'!K$14))
/ ('Dist. de l''état nutritionnel'!K$14/(1-'Dist. de l''état nutritionnel'!K$14)))</f>
        <v>0.64743213068515693</v>
      </c>
      <c r="L44" s="90">
        <f>IF(ISBLANK('Dist. de l''état nutritionnel'!L$14),0.7,(0.7*'Dist. de l''état nutritionnel'!L$14/(1-0.7*'Dist. de l''état nutritionnel'!L$14))
/ ('Dist. de l''état nutritionnel'!L$14/(1-'Dist. de l''état nutritionnel'!L$14)))</f>
        <v>0.64626812875840101</v>
      </c>
      <c r="M44" s="90">
        <f>IF(ISBLANK('Dist. de l''état nutritionnel'!M$14),0.7,(0.7*'Dist. de l''état nutritionnel'!M$14/(1-0.7*'Dist. de l''état nutritionnel'!M$14))
/ ('Dist. de l''état nutritionnel'!M$14/(1-'Dist. de l''état nutritionnel'!M$14)))</f>
        <v>0.64626812875840101</v>
      </c>
      <c r="N44" s="90">
        <f>IF(ISBLANK('Dist. de l''état nutritionnel'!N$14),0.7,(0.7*'Dist. de l''état nutritionnel'!N$14/(1-0.7*'Dist. de l''état nutritionnel'!N$14))
/ ('Dist. de l''état nutritionnel'!N$14/(1-'Dist. de l''état nutritionnel'!N$14)))</f>
        <v>0.64626812875840101</v>
      </c>
      <c r="O44" s="90">
        <f>IF(ISBLANK('Dist. de l''état nutritionnel'!O$14),0.7,(0.7*'Dist. de l''état nutritionnel'!O$14/(1-0.7*'Dist. de l''état nutritionnel'!O$14))
/ ('Dist. de l''état nutritionnel'!O$14/(1-'Dist. de l''état nutritionnel'!O$14)))</f>
        <v>0.64626812875840101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ht="13" customHeight="1" x14ac:dyDescent="0.3">
      <c r="A48" s="4" t="s">
        <v>322</v>
      </c>
    </row>
    <row r="49" spans="1:15" x14ac:dyDescent="0.25">
      <c r="B49" s="11" t="s">
        <v>171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176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177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178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179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180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181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182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185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186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189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190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205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324</v>
      </c>
      <c r="B63" s="11"/>
    </row>
    <row r="64" spans="1:15" x14ac:dyDescent="0.25">
      <c r="B64" s="5" t="s">
        <v>173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174</v>
      </c>
      <c r="C65" s="90">
        <f t="shared" ref="C65:D67" si="30">IF(C19=1,1,C19*1.05)</f>
        <v>1</v>
      </c>
      <c r="D65" s="90">
        <f t="shared" si="30"/>
        <v>1</v>
      </c>
      <c r="E65" s="90">
        <f>IF(ISBLANK('Dist. de l''état nutritionnel'!E$14),0.97,(0.97*'Dist. de l''état nutritionnel'!E$14/(1-0.97*'Dist. de l''état nutritionnel'!E$14))
/ ('Dist. de l''état nutritionnel'!E$14/(1-'Dist. de l''état nutritionnel'!E$14)))</f>
        <v>0.95019683183186299</v>
      </c>
      <c r="F65" s="90">
        <f>IF(ISBLANK('Dist. de l''état nutritionnel'!F$14),0.97,(0.97*'Dist. de l''état nutritionnel'!F$14/(1-0.97*'Dist. de l''état nutritionnel'!F$14))
/ ('Dist. de l''état nutritionnel'!F$14/(1-'Dist. de l''état nutritionnel'!F$14)))</f>
        <v>0.95492401976423313</v>
      </c>
      <c r="G65" s="90">
        <f>IF(ISBLANK('Dist. de l''état nutritionnel'!G$14),0.97,(0.97*'Dist. de l''état nutritionnel'!G$14/(1-0.97*'Dist. de l''état nutritionnel'!G$14))
/ ('Dist. de l''état nutritionnel'!G$14/(1-'Dist. de l''état nutritionnel'!G$14)))</f>
        <v>0.95492401976423313</v>
      </c>
      <c r="H65" s="90">
        <f>IF(ISBLANK('Dist. de l''état nutritionnel'!H$14),0.97,(0.97*'Dist. de l''état nutritionnel'!H$14/(1-0.97*'Dist. de l''état nutritionnel'!H$14))
/ ('Dist. de l''état nutritionnel'!H$14/(1-'Dist. de l''état nutritionnel'!H$14)))</f>
        <v>0.96218757483709161</v>
      </c>
      <c r="I65" s="90">
        <f>IF(ISBLANK('Dist. de l''état nutritionnel'!I$14),0.97,(0.97*'Dist. de l''état nutritionnel'!I$14/(1-0.97*'Dist. de l''état nutritionnel'!I$14))
/ ('Dist. de l''état nutritionnel'!I$14/(1-'Dist. de l''état nutritionnel'!I$14)))</f>
        <v>0.96218757483709161</v>
      </c>
      <c r="J65" s="90">
        <f>IF(ISBLANK('Dist. de l''état nutritionnel'!J$14),0.97,(0.97*'Dist. de l''état nutritionnel'!J$14/(1-0.97*'Dist. de l''état nutritionnel'!J$14))
/ ('Dist. de l''état nutritionnel'!J$14/(1-'Dist. de l''état nutritionnel'!J$14)))</f>
        <v>0.96218757483709161</v>
      </c>
      <c r="K65" s="90">
        <f>IF(ISBLANK('Dist. de l''état nutritionnel'!K$14),0.97,(0.97*'Dist. de l''état nutritionnel'!K$14/(1-0.97*'Dist. de l''état nutritionnel'!K$14))
/ ('Dist. de l''état nutritionnel'!K$14/(1-'Dist. de l''état nutritionnel'!K$14)))</f>
        <v>0.96218757483709161</v>
      </c>
      <c r="L65" s="90">
        <f>IF(ISBLANK('Dist. de l''état nutritionnel'!L$14),0.97,(0.97*'Dist. de l''état nutritionnel'!L$14/(1-0.97*'Dist. de l''état nutritionnel'!L$14))
/ ('Dist. de l''état nutritionnel'!L$14/(1-'Dist. de l''état nutritionnel'!L$14)))</f>
        <v>0.96200174791959558</v>
      </c>
      <c r="M65" s="90">
        <f>IF(ISBLANK('Dist. de l''état nutritionnel'!M$14),0.97,(0.97*'Dist. de l''état nutritionnel'!M$14/(1-0.97*'Dist. de l''état nutritionnel'!M$14))
/ ('Dist. de l''état nutritionnel'!M$14/(1-'Dist. de l''état nutritionnel'!M$14)))</f>
        <v>0.96200174791959558</v>
      </c>
      <c r="N65" s="90">
        <f>IF(ISBLANK('Dist. de l''état nutritionnel'!N$14),0.97,(0.97*'Dist. de l''état nutritionnel'!N$14/(1-0.97*'Dist. de l''état nutritionnel'!N$14))
/ ('Dist. de l''état nutritionnel'!N$14/(1-'Dist. de l''état nutritionnel'!N$14)))</f>
        <v>0.96200174791959558</v>
      </c>
      <c r="O65" s="90">
        <f>IF(ISBLANK('Dist. de l''état nutritionnel'!O$14),0.97,(0.97*'Dist. de l''état nutritionnel'!O$14/(1-0.97*'Dist. de l''état nutritionnel'!O$14))
/ ('Dist. de l''état nutritionnel'!O$14/(1-'Dist. de l''état nutritionnel'!O$14)))</f>
        <v>0.96200174791959558</v>
      </c>
    </row>
    <row r="66" spans="2:15" x14ac:dyDescent="0.25">
      <c r="B66" s="5" t="s">
        <v>175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183</v>
      </c>
      <c r="C67" s="90">
        <f t="shared" si="30"/>
        <v>1</v>
      </c>
      <c r="D67" s="90">
        <f t="shared" si="30"/>
        <v>1</v>
      </c>
      <c r="E67" s="90">
        <f>IF(ISBLANK('Dist. de l''état nutritionnel'!E$14),0.92,(0.92*'Dist. de l''état nutritionnel'!E$14/(1-0.92*'Dist. de l''état nutritionnel'!E$14))
/ ('Dist. de l''état nutritionnel'!E$14/(1-'Dist. de l''état nutritionnel'!E$14)))</f>
        <v>0.8715617978013811</v>
      </c>
      <c r="F67" s="90">
        <f>IF(ISBLANK('Dist. de l''état nutritionnel'!F$14),0.92,(0.92*'Dist. de l''état nutritionnel'!F$14/(1-0.92*'Dist. de l''état nutritionnel'!F$14))
/ ('Dist. de l''état nutritionnel'!F$14/(1-'Dist. de l''état nutritionnel'!F$14)))</f>
        <v>0.88283246413917738</v>
      </c>
      <c r="G67" s="90">
        <f>IF(ISBLANK('Dist. de l''état nutritionnel'!G$14),0.92,(0.92*'Dist. de l''état nutritionnel'!G$14/(1-0.92*'Dist. de l''état nutritionnel'!G$14))
/ ('Dist. de l''état nutritionnel'!G$14/(1-'Dist. de l''état nutritionnel'!G$14)))</f>
        <v>0.88283246413917738</v>
      </c>
      <c r="H67" s="90">
        <f>IF(ISBLANK('Dist. de l''état nutritionnel'!H$14),0.92,(0.92*'Dist. de l''état nutritionnel'!H$14/(1-0.92*'Dist. de l''état nutritionnel'!H$14))
/ ('Dist. de l''état nutritionnel'!H$14/(1-'Dist. de l''état nutritionnel'!H$14)))</f>
        <v>0.90050246256405164</v>
      </c>
      <c r="I67" s="90">
        <f>IF(ISBLANK('Dist. de l''état nutritionnel'!I$14),0.92,(0.92*'Dist. de l''état nutritionnel'!I$14/(1-0.92*'Dist. de l''état nutritionnel'!I$14))
/ ('Dist. de l''état nutritionnel'!I$14/(1-'Dist. de l''état nutritionnel'!I$14)))</f>
        <v>0.90050246256405164</v>
      </c>
      <c r="J67" s="90">
        <f>IF(ISBLANK('Dist. de l''état nutritionnel'!J$14),0.92,(0.92*'Dist. de l''état nutritionnel'!J$14/(1-0.92*'Dist. de l''état nutritionnel'!J$14))
/ ('Dist. de l''état nutritionnel'!J$14/(1-'Dist. de l''état nutritionnel'!J$14)))</f>
        <v>0.90050246256405164</v>
      </c>
      <c r="K67" s="90">
        <f>IF(ISBLANK('Dist. de l''état nutritionnel'!K$14),0.92,(0.92*'Dist. de l''état nutritionnel'!K$14/(1-0.92*'Dist. de l''état nutritionnel'!K$14))
/ ('Dist. de l''état nutritionnel'!K$14/(1-'Dist. de l''état nutritionnel'!K$14)))</f>
        <v>0.90050246256405164</v>
      </c>
      <c r="L67" s="90">
        <f>IF(ISBLANK('Dist. de l''état nutritionnel'!L$14),0.92,(0.92*'Dist. de l''état nutritionnel'!L$14/(1-0.92*'Dist. de l''état nutritionnel'!L$14))
/ ('Dist. de l''état nutritionnel'!L$14/(1-'Dist. de l''état nutritionnel'!L$14)))</f>
        <v>0.90004497975910858</v>
      </c>
      <c r="M67" s="90">
        <f>IF(ISBLANK('Dist. de l''état nutritionnel'!M$14),0.92,(0.92*'Dist. de l''état nutritionnel'!M$14/(1-0.92*'Dist. de l''état nutritionnel'!M$14))
/ ('Dist. de l''état nutritionnel'!M$14/(1-'Dist. de l''état nutritionnel'!M$14)))</f>
        <v>0.90004497975910858</v>
      </c>
      <c r="N67" s="90">
        <f>IF(ISBLANK('Dist. de l''état nutritionnel'!N$14),0.92,(0.92*'Dist. de l''état nutritionnel'!N$14/(1-0.92*'Dist. de l''état nutritionnel'!N$14))
/ ('Dist. de l''état nutritionnel'!N$14/(1-'Dist. de l''état nutritionnel'!N$14)))</f>
        <v>0.90004497975910858</v>
      </c>
      <c r="O67" s="90">
        <f>IF(ISBLANK('Dist. de l''état nutritionnel'!O$14),0.92,(0.92*'Dist. de l''état nutritionnel'!O$14/(1-0.92*'Dist. de l''état nutritionnel'!O$14))
/ ('Dist. de l''état nutritionnel'!O$14/(1-'Dist. de l''état nutritionnel'!O$14)))</f>
        <v>0.90004497975910858</v>
      </c>
    </row>
  </sheetData>
  <sheetProtection algorithmName="SHA-512" hashValue="xk+i8gTRq10wWfnBZ2onxxVYq6591bVKLhG+2mQGHKjrhLCYJXwQ6N3vQffvT5xgHyFRzmTn5IBA+UrNRMgLtw==" saltValue="qcUBDjqyhwRuqhywws4C7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ht="13" customHeight="1" x14ac:dyDescent="0.3">
      <c r="A2" s="4" t="s">
        <v>325</v>
      </c>
    </row>
    <row r="3" spans="1:7" x14ac:dyDescent="0.25">
      <c r="B3" s="11" t="s">
        <v>161</v>
      </c>
      <c r="C3" s="90">
        <v>1</v>
      </c>
      <c r="D3" s="90">
        <f>IF(ISBLANK('Dist. de l''état nutritionnel'!D$11),0.86,(0.86*'Dist. de l''état nutritionnel'!D$11/(1-0.86*'Dist. de l''état nutritionnel'!D$11))
/ ('Dist. de l''état nutritionnel'!D$11/(1-'Dist. de l''état nutritionnel'!D$11)))</f>
        <v>0.85757823651884846</v>
      </c>
      <c r="E3" s="90">
        <f>IF(ISBLANK('Dist. de l''état nutritionnel'!E$11),0.86,(0.86*'Dist. de l''état nutritionnel'!E$11/(1-0.86*'Dist. de l''état nutritionnel'!E$11))
/ ('Dist. de l''état nutritionnel'!E$11/(1-'Dist. de l''état nutritionnel'!E$11)))</f>
        <v>0.85941204967857465</v>
      </c>
      <c r="F3" s="90">
        <f>IF(ISBLANK('Dist. de l''état nutritionnel'!F$11),0.86,(0.86*'Dist. de l''état nutritionnel'!F$11/(1-0.86*'Dist. de l''état nutritionnel'!F$11))
/ ('Dist. de l''état nutritionnel'!F$11/(1-'Dist. de l''état nutritionnel'!F$11)))</f>
        <v>0.85889777759512365</v>
      </c>
      <c r="G3" s="90">
        <f>IF(ISBLANK('Dist. de l''état nutritionnel'!G$11),0.86,(0.86*'Dist. de l''état nutritionnel'!G$11/(1-0.86*'Dist. de l''état nutritionnel'!G$11))
/ ('Dist. de l''état nutritionnel'!G$11/(1-'Dist. de l''état nutritionnel'!G$11)))</f>
        <v>0.85971256625328929</v>
      </c>
    </row>
    <row r="4" spans="1:7" ht="13" customHeight="1" x14ac:dyDescent="0.3">
      <c r="A4" s="4" t="s">
        <v>326</v>
      </c>
      <c r="B4" s="11"/>
      <c r="C4" s="83"/>
      <c r="D4" s="83"/>
      <c r="E4" s="83"/>
      <c r="F4" s="83"/>
      <c r="G4" s="83"/>
    </row>
    <row r="5" spans="1:7" x14ac:dyDescent="0.25">
      <c r="B5" s="5" t="s">
        <v>165</v>
      </c>
      <c r="C5" s="90">
        <v>1</v>
      </c>
      <c r="D5" s="90">
        <f>IF(ISBLANK('Dist. de l''état nutritionnel'!D$10),0.86,(0.86*'Dist. de l''état nutritionnel'!D$10/(1-0.86*'Dist. de l''état nutritionnel'!D$10))
/ ('Dist. de l''état nutritionnel'!D$10/(1-'Dist. de l''état nutritionnel'!D$10)))</f>
        <v>0.85439571549916404</v>
      </c>
      <c r="E5" s="90">
        <f>IF(ISBLANK('Dist. de l''état nutritionnel'!E$10),0.86,(0.86*'Dist. de l''état nutritionnel'!E$10/(1-0.86*'Dist. de l''état nutritionnel'!E$10))
/ ('Dist. de l''état nutritionnel'!E$10/(1-'Dist. de l''état nutritionnel'!E$10)))</f>
        <v>0.85900142472070762</v>
      </c>
      <c r="F5" s="90">
        <f>IF(ISBLANK('Dist. de l''état nutritionnel'!F$10),0.86,(0.86*'Dist. de l''état nutritionnel'!F$10/(1-0.86*'Dist. de l''état nutritionnel'!F$10))
/ ('Dist. de l''état nutritionnel'!F$10/(1-'Dist. de l''état nutritionnel'!F$10)))</f>
        <v>0.85974667290024442</v>
      </c>
      <c r="G5" s="90">
        <f>IF(ISBLANK('Dist. de l''état nutritionnel'!G$10),0.86,(0.86*'Dist. de l''état nutritionnel'!G$10/(1-0.86*'Dist. de l''état nutritionnel'!G$10))
/ ('Dist. de l''état nutritionnel'!G$10/(1-'Dist. de l''état nutritionnel'!G$10)))</f>
        <v>0.85843443041774481</v>
      </c>
    </row>
    <row r="7" spans="1:7" s="92" customFormat="1" ht="13" customHeight="1" x14ac:dyDescent="0.3">
      <c r="A7" s="92" t="s">
        <v>331</v>
      </c>
    </row>
    <row r="8" spans="1:7" ht="13" customHeight="1" x14ac:dyDescent="0.3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ht="13" customHeight="1" x14ac:dyDescent="0.3">
      <c r="A9" s="4" t="s">
        <v>327</v>
      </c>
    </row>
    <row r="10" spans="1:7" x14ac:dyDescent="0.25">
      <c r="B10" s="11" t="s">
        <v>161</v>
      </c>
      <c r="C10" s="90">
        <f>C3*0.9</f>
        <v>0.9</v>
      </c>
      <c r="D10" s="90">
        <f>D3*0.9</f>
        <v>0.77182041286696368</v>
      </c>
      <c r="E10" s="90">
        <f>E3*0.9</f>
        <v>0.77347084471071725</v>
      </c>
      <c r="F10" s="90">
        <f>F3*0.9</f>
        <v>0.7730079998356113</v>
      </c>
      <c r="G10" s="90">
        <f>G3*0.9</f>
        <v>0.77374130962796039</v>
      </c>
    </row>
    <row r="11" spans="1:7" ht="13" customHeight="1" x14ac:dyDescent="0.3">
      <c r="A11" s="4" t="s">
        <v>328</v>
      </c>
      <c r="B11" s="11"/>
      <c r="C11" s="83"/>
      <c r="D11" s="83"/>
      <c r="E11" s="83"/>
      <c r="F11" s="83"/>
      <c r="G11" s="83"/>
    </row>
    <row r="12" spans="1:7" x14ac:dyDescent="0.25">
      <c r="B12" s="5" t="s">
        <v>165</v>
      </c>
      <c r="C12" s="90">
        <f>C5*0.9</f>
        <v>0.9</v>
      </c>
      <c r="D12" s="90">
        <f>D5*0.9</f>
        <v>0.76895614394924761</v>
      </c>
      <c r="E12" s="90">
        <f>E5*0.9</f>
        <v>0.77310128224863683</v>
      </c>
      <c r="F12" s="90">
        <f>F5*0.9</f>
        <v>0.77377200561021997</v>
      </c>
      <c r="G12" s="90">
        <f>G5*0.9</f>
        <v>0.77259098737597032</v>
      </c>
    </row>
    <row r="14" spans="1:7" s="92" customFormat="1" ht="13" customHeight="1" x14ac:dyDescent="0.3">
      <c r="A14" s="92" t="s">
        <v>332</v>
      </c>
    </row>
    <row r="15" spans="1:7" ht="13" customHeight="1" x14ac:dyDescent="0.3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ht="13" customHeight="1" x14ac:dyDescent="0.3">
      <c r="A16" s="4" t="s">
        <v>329</v>
      </c>
    </row>
    <row r="17" spans="1:7" x14ac:dyDescent="0.25">
      <c r="B17" s="11" t="s">
        <v>161</v>
      </c>
      <c r="C17" s="90">
        <f>C3*1.05</f>
        <v>1.05</v>
      </c>
      <c r="D17" s="90">
        <f>D3*1.05</f>
        <v>0.90045714834479096</v>
      </c>
      <c r="E17" s="90">
        <f>E3*1.05</f>
        <v>0.90238265216250346</v>
      </c>
      <c r="F17" s="90">
        <f>F3*1.05</f>
        <v>0.90184266647487987</v>
      </c>
      <c r="G17" s="90">
        <f>G3*1.05</f>
        <v>0.90269819456595379</v>
      </c>
    </row>
    <row r="18" spans="1:7" ht="13" customHeight="1" x14ac:dyDescent="0.3">
      <c r="A18" s="4" t="s">
        <v>330</v>
      </c>
      <c r="B18" s="11"/>
      <c r="C18" s="83"/>
      <c r="D18" s="83"/>
      <c r="E18" s="83"/>
      <c r="F18" s="83"/>
      <c r="G18" s="83"/>
    </row>
    <row r="19" spans="1:7" x14ac:dyDescent="0.25">
      <c r="B19" s="5" t="s">
        <v>165</v>
      </c>
      <c r="C19" s="90">
        <f>C5*1.05</f>
        <v>1.05</v>
      </c>
      <c r="D19" s="90">
        <f>D5*1.05</f>
        <v>0.89711550127412232</v>
      </c>
      <c r="E19" s="90">
        <f>E5*1.05</f>
        <v>0.90195149595674307</v>
      </c>
      <c r="F19" s="90">
        <f>F5*1.05</f>
        <v>0.90273400654525671</v>
      </c>
      <c r="G19" s="90">
        <f>G5*1.05</f>
        <v>0.90135615193863206</v>
      </c>
    </row>
  </sheetData>
  <sheetProtection algorithmName="SHA-512" hashValue="ESuqTNpA1+vLyqX/HkjR5uX9O0EEAJGOdAboJqC7o8TFld4ZMsgIBslYiFL8b0t3eyp6dH8ou25bjBSIy5Xr5Q==" saltValue="ODfoKLy9xpBgtWepgIqmW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5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335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336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336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209</v>
      </c>
      <c r="C7" s="5" t="s">
        <v>334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336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336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209</v>
      </c>
      <c r="C11" s="5" t="s">
        <v>334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336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336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209</v>
      </c>
      <c r="C15" s="5" t="s">
        <v>334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336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336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209</v>
      </c>
      <c r="C19" s="5" t="s">
        <v>334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336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175</v>
      </c>
      <c r="B21" s="5" t="s">
        <v>84</v>
      </c>
      <c r="C21" s="5" t="s">
        <v>334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335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173</v>
      </c>
      <c r="B23" s="5" t="s">
        <v>84</v>
      </c>
      <c r="C23" s="5" t="s">
        <v>334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335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174</v>
      </c>
      <c r="B25" s="5" t="s">
        <v>84</v>
      </c>
      <c r="C25" s="5" t="s">
        <v>334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335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87</v>
      </c>
      <c r="C42" s="5" t="s">
        <v>334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335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336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335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336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87</v>
      </c>
      <c r="C50" s="5" t="s">
        <v>334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335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331</v>
      </c>
      <c r="B55" s="97"/>
      <c r="C55" s="97"/>
    </row>
    <row r="56" spans="1:8" ht="13" customHeight="1" x14ac:dyDescent="0.3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5">
      <c r="A57" s="5" t="s">
        <v>193</v>
      </c>
      <c r="B57" s="5" t="s">
        <v>87</v>
      </c>
      <c r="C57" s="5" t="s">
        <v>334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335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336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336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205</v>
      </c>
      <c r="B68" s="5" t="s">
        <v>208</v>
      </c>
      <c r="C68" s="5" t="s">
        <v>334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336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209</v>
      </c>
      <c r="C70" s="5" t="s">
        <v>334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336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170</v>
      </c>
      <c r="B72" s="5" t="s">
        <v>208</v>
      </c>
      <c r="C72" s="5" t="s">
        <v>334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336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209</v>
      </c>
      <c r="C74" s="5" t="s">
        <v>334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336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175</v>
      </c>
      <c r="B76" s="5" t="s">
        <v>84</v>
      </c>
      <c r="C76" s="5" t="s">
        <v>334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335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173</v>
      </c>
      <c r="B78" s="5" t="s">
        <v>84</v>
      </c>
      <c r="C78" s="5" t="s">
        <v>334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335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174</v>
      </c>
      <c r="B80" s="5" t="s">
        <v>84</v>
      </c>
      <c r="C80" s="5" t="s">
        <v>334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335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87</v>
      </c>
      <c r="C82" s="5" t="s">
        <v>334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335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336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87</v>
      </c>
      <c r="C85" s="5" t="s">
        <v>334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335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336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196</v>
      </c>
      <c r="B88" s="5" t="s">
        <v>87</v>
      </c>
      <c r="C88" s="5" t="s">
        <v>334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335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336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195</v>
      </c>
      <c r="B91" s="5" t="s">
        <v>87</v>
      </c>
      <c r="C91" s="5" t="s">
        <v>334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335</v>
      </c>
      <c r="D92" s="90">
        <f t="shared" si="4"/>
        <v>0</v>
      </c>
      <c r="E92" s="90">
        <f t="shared" si="4"/>
        <v>0</v>
      </c>
      <c r="F92" s="90">
        <f t="shared" ref="F92:G108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336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194</v>
      </c>
      <c r="B94" s="5" t="s">
        <v>87</v>
      </c>
      <c r="C94" s="5" t="s">
        <v>334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335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336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200</v>
      </c>
      <c r="B97" s="5" t="s">
        <v>87</v>
      </c>
      <c r="C97" s="5" t="s">
        <v>334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335</v>
      </c>
      <c r="D98" s="90">
        <f t="shared" ref="D98:E108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336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88</v>
      </c>
      <c r="C100" s="5" t="s">
        <v>334</v>
      </c>
      <c r="D100" s="90">
        <f t="shared" si="6"/>
        <v>0.27</v>
      </c>
      <c r="E100" s="90">
        <f t="shared" si="6"/>
        <v>0.27</v>
      </c>
      <c r="F100" s="90">
        <f t="shared" si="5"/>
        <v>0.27</v>
      </c>
      <c r="G100" s="90">
        <f t="shared" si="5"/>
        <v>0.27</v>
      </c>
      <c r="H100" s="90">
        <f t="shared" si="2"/>
        <v>0.27</v>
      </c>
    </row>
    <row r="101" spans="1:8" x14ac:dyDescent="0.25">
      <c r="C101" s="5" t="s">
        <v>335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336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191</v>
      </c>
      <c r="B103" s="5" t="s">
        <v>87</v>
      </c>
      <c r="C103" s="5" t="s">
        <v>334</v>
      </c>
      <c r="D103" s="90">
        <f t="shared" si="6"/>
        <v>0.79200000000000004</v>
      </c>
      <c r="E103" s="90">
        <f t="shared" si="6"/>
        <v>0.79200000000000004</v>
      </c>
      <c r="F103" s="90">
        <f t="shared" si="5"/>
        <v>0.79200000000000004</v>
      </c>
      <c r="G103" s="90">
        <f t="shared" si="5"/>
        <v>0.79200000000000004</v>
      </c>
      <c r="H103" s="90">
        <f t="shared" si="2"/>
        <v>0.79200000000000004</v>
      </c>
    </row>
    <row r="104" spans="1:8" x14ac:dyDescent="0.25">
      <c r="C104" s="5" t="s">
        <v>335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199</v>
      </c>
      <c r="B105" s="5" t="s">
        <v>87</v>
      </c>
      <c r="C105" s="5" t="s">
        <v>334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335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184</v>
      </c>
      <c r="B107" s="5" t="s">
        <v>82</v>
      </c>
      <c r="C107" s="5" t="s">
        <v>334</v>
      </c>
      <c r="D107" s="90">
        <f t="shared" si="6"/>
        <v>0.52200000000000002</v>
      </c>
      <c r="E107" s="90">
        <f t="shared" si="6"/>
        <v>0.52200000000000002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335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332</v>
      </c>
      <c r="B110" s="97"/>
      <c r="C110" s="97"/>
    </row>
    <row r="111" spans="1:8" ht="13" customHeight="1" x14ac:dyDescent="0.3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5">
      <c r="A112" s="5" t="s">
        <v>193</v>
      </c>
      <c r="B112" s="5" t="s">
        <v>87</v>
      </c>
      <c r="C112" s="5" t="s">
        <v>334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335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336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192</v>
      </c>
      <c r="B115" s="5" t="s">
        <v>208</v>
      </c>
      <c r="C115" s="5" t="s">
        <v>334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336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209</v>
      </c>
      <c r="C117" s="5" t="s">
        <v>334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336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185</v>
      </c>
      <c r="B119" s="5" t="s">
        <v>208</v>
      </c>
      <c r="C119" s="5" t="s">
        <v>334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336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209</v>
      </c>
      <c r="C121" s="5" t="s">
        <v>334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336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336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336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175</v>
      </c>
      <c r="B131" s="5" t="s">
        <v>84</v>
      </c>
      <c r="C131" s="5" t="s">
        <v>334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335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173</v>
      </c>
      <c r="B133" s="5" t="s">
        <v>84</v>
      </c>
      <c r="C133" s="5" t="s">
        <v>334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335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174</v>
      </c>
      <c r="B135" s="5" t="s">
        <v>84</v>
      </c>
      <c r="C135" s="5" t="s">
        <v>334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335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197</v>
      </c>
      <c r="B137" s="5" t="s">
        <v>87</v>
      </c>
      <c r="C137" s="5" t="s">
        <v>334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335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336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198</v>
      </c>
      <c r="B140" s="5" t="s">
        <v>87</v>
      </c>
      <c r="C140" s="5" t="s">
        <v>334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335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336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87</v>
      </c>
      <c r="C143" s="5" t="s">
        <v>334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335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336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87</v>
      </c>
      <c r="C146" s="5" t="s">
        <v>334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335</v>
      </c>
      <c r="D147" s="90">
        <f t="shared" si="11"/>
        <v>0</v>
      </c>
      <c r="E147" s="90">
        <f t="shared" si="11"/>
        <v>0</v>
      </c>
      <c r="F147" s="90">
        <f t="shared" ref="F147:G163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336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87</v>
      </c>
      <c r="C149" s="5" t="s">
        <v>334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335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336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87</v>
      </c>
      <c r="C152" s="5" t="s">
        <v>334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335</v>
      </c>
      <c r="D153" s="90">
        <f t="shared" ref="D153:E163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336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88</v>
      </c>
      <c r="C155" s="5" t="s">
        <v>334</v>
      </c>
      <c r="D155" s="90">
        <f t="shared" si="13"/>
        <v>0.315</v>
      </c>
      <c r="E155" s="90">
        <f t="shared" si="13"/>
        <v>0.315</v>
      </c>
      <c r="F155" s="90">
        <f t="shared" si="12"/>
        <v>0.315</v>
      </c>
      <c r="G155" s="90">
        <f t="shared" si="12"/>
        <v>0.315</v>
      </c>
      <c r="H155" s="90">
        <f t="shared" si="9"/>
        <v>0.315</v>
      </c>
    </row>
    <row r="156" spans="1:8" x14ac:dyDescent="0.25">
      <c r="C156" s="5" t="s">
        <v>335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336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191</v>
      </c>
      <c r="B158" s="5" t="s">
        <v>87</v>
      </c>
      <c r="C158" s="5" t="s">
        <v>334</v>
      </c>
      <c r="D158" s="90">
        <f t="shared" si="13"/>
        <v>0.92400000000000004</v>
      </c>
      <c r="E158" s="90">
        <f t="shared" si="13"/>
        <v>0.92400000000000004</v>
      </c>
      <c r="F158" s="90">
        <f t="shared" si="12"/>
        <v>0.92400000000000004</v>
      </c>
      <c r="G158" s="90">
        <f t="shared" si="12"/>
        <v>0.92400000000000004</v>
      </c>
      <c r="H158" s="90">
        <f t="shared" si="9"/>
        <v>0.92400000000000004</v>
      </c>
    </row>
    <row r="159" spans="1:8" x14ac:dyDescent="0.25">
      <c r="C159" s="5" t="s">
        <v>335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199</v>
      </c>
      <c r="B160" s="5" t="s">
        <v>87</v>
      </c>
      <c r="C160" s="5" t="s">
        <v>334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335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184</v>
      </c>
      <c r="B162" s="5" t="s">
        <v>82</v>
      </c>
      <c r="C162" s="5" t="s">
        <v>334</v>
      </c>
      <c r="D162" s="90">
        <f t="shared" si="13"/>
        <v>0.60899999999999999</v>
      </c>
      <c r="E162" s="90">
        <f t="shared" si="13"/>
        <v>0.60899999999999999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335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pfL+v2nkCys43cVlQN0pX+dEQvL+6bM6Lt0V9WdxRySPNxPLEvs1XkT/7R0RfdLdFbtkgMLQs2z7uwbCk+F6Hw==" saltValue="pVuuqVaQXDw2DWLmmznOg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5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335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331</v>
      </c>
    </row>
    <row r="10" spans="1:8" ht="13" customHeight="1" x14ac:dyDescent="0.3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5">
      <c r="A11" s="3" t="s">
        <v>169</v>
      </c>
      <c r="B11" s="8" t="s">
        <v>104</v>
      </c>
      <c r="C11" s="3" t="s">
        <v>334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335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188</v>
      </c>
      <c r="B13" s="8" t="s">
        <v>104</v>
      </c>
      <c r="C13" s="3" t="s">
        <v>334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187</v>
      </c>
      <c r="B15" s="8" t="s">
        <v>104</v>
      </c>
      <c r="C15" s="3" t="s">
        <v>334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332</v>
      </c>
    </row>
    <row r="19" spans="1:7" ht="13" customHeight="1" x14ac:dyDescent="0.3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5">
      <c r="A20" s="3" t="s">
        <v>169</v>
      </c>
      <c r="B20" s="8" t="s">
        <v>104</v>
      </c>
      <c r="C20" s="3" t="s">
        <v>334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335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188</v>
      </c>
      <c r="B22" s="8" t="s">
        <v>104</v>
      </c>
      <c r="C22" s="3" t="s">
        <v>334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187</v>
      </c>
      <c r="B24" s="8" t="s">
        <v>104</v>
      </c>
      <c r="C24" s="3" t="s">
        <v>334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S3bG4Z+0mPyFFl/R4ofIzXxBVfQgxkYaE3jNz54j5BkwKq7I3+yz6sE6X5rmu5zdqCG6xcTMfM6XdKQKLGWgQw==" saltValue="4FJoWoJ7UBQ6r4jWfQMDHQ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2024-03-15T02:48:12Z</dcterms:modified>
</cp:coreProperties>
</file>