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4A0E8AE5-BEDA-4801-BB5D-DF8C4EA6E9C3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F17" i="26"/>
  <c r="C17" i="26"/>
  <c r="C12" i="26"/>
  <c r="C10" i="26"/>
  <c r="G5" i="26"/>
  <c r="G19" i="26" s="1"/>
  <c r="F5" i="26"/>
  <c r="F19" i="26" s="1"/>
  <c r="E5" i="26"/>
  <c r="E12" i="26" s="1"/>
  <c r="D5" i="26"/>
  <c r="D12" i="26" s="1"/>
  <c r="G3" i="26"/>
  <c r="G17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30" i="2"/>
  <c r="H11" i="2"/>
  <c r="G11" i="2"/>
  <c r="H10" i="2"/>
  <c r="G10" i="2"/>
  <c r="I10" i="2" s="1"/>
  <c r="H9" i="2"/>
  <c r="G9" i="2"/>
  <c r="H8" i="2"/>
  <c r="G8" i="2"/>
  <c r="I8" i="2" s="1"/>
  <c r="H7" i="2"/>
  <c r="G7" i="2"/>
  <c r="H6" i="2"/>
  <c r="G6" i="2"/>
  <c r="I6" i="2" s="1"/>
  <c r="H5" i="2"/>
  <c r="G5" i="2"/>
  <c r="H4" i="2"/>
  <c r="G4" i="2"/>
  <c r="I4" i="2" s="1"/>
  <c r="H3" i="2"/>
  <c r="G3" i="2"/>
  <c r="H2" i="2"/>
  <c r="G2" i="2"/>
  <c r="A2" i="2"/>
  <c r="A36" i="2" s="1"/>
  <c r="C33" i="1"/>
  <c r="C20" i="1"/>
  <c r="A13" i="2" l="1"/>
  <c r="A34" i="2"/>
  <c r="A14" i="2"/>
  <c r="A37" i="2"/>
  <c r="D19" i="26"/>
  <c r="I5" i="2"/>
  <c r="I9" i="2"/>
  <c r="A18" i="2"/>
  <c r="A38" i="2"/>
  <c r="A40" i="2"/>
  <c r="E19" i="26"/>
  <c r="I2" i="2"/>
  <c r="A22" i="2"/>
  <c r="F12" i="26"/>
  <c r="A21" i="2"/>
  <c r="A26" i="2"/>
  <c r="G12" i="26"/>
  <c r="I3" i="2"/>
  <c r="I7" i="2"/>
  <c r="I11" i="2"/>
  <c r="A29" i="2"/>
  <c r="A39" i="2"/>
  <c r="D10" i="26"/>
  <c r="A15" i="2"/>
  <c r="A23" i="2"/>
  <c r="A31" i="2"/>
  <c r="E10" i="26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7" i="2"/>
  <c r="A25" i="2"/>
  <c r="A33" i="2"/>
  <c r="G10" i="26"/>
  <c r="A19" i="2"/>
  <c r="A27" i="2"/>
  <c r="A35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<sst xmlns="http://schemas.openxmlformats.org/spreadsheetml/2006/main" count="2092" uniqueCount="337">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</sst>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295154.919921875</v>
      </c>
    </row>
    <row r="8" spans="1:3" ht="15" customHeight="1" x14ac:dyDescent="0.25">
      <c r="B8" s="5" t="s">
        <v>19</v>
      </c>
      <c r="C8" s="44">
        <v>0.161</v>
      </c>
    </row>
    <row r="9" spans="1:3" ht="15" customHeight="1" x14ac:dyDescent="0.25">
      <c r="B9" s="5" t="s">
        <v>20</v>
      </c>
      <c r="C9" s="45">
        <v>0.13</v>
      </c>
    </row>
    <row r="10" spans="1:3" ht="15" customHeight="1" x14ac:dyDescent="0.25">
      <c r="B10" s="5" t="s">
        <v>21</v>
      </c>
      <c r="C10" s="45">
        <v>0.32603321079999997</v>
      </c>
    </row>
    <row r="11" spans="1:3" ht="15" customHeight="1" x14ac:dyDescent="0.25">
      <c r="B11" s="5" t="s">
        <v>22</v>
      </c>
      <c r="C11" s="45">
        <v>0.73299999999999998</v>
      </c>
    </row>
    <row r="12" spans="1:3" ht="15" customHeight="1" x14ac:dyDescent="0.25">
      <c r="B12" s="5" t="s">
        <v>23</v>
      </c>
      <c r="C12" s="45">
        <v>0.14000000000000001</v>
      </c>
    </row>
    <row r="13" spans="1:3" ht="15" customHeight="1" x14ac:dyDescent="0.25">
      <c r="B13" s="5" t="s">
        <v>24</v>
      </c>
      <c r="C13" s="45">
        <v>0.52200000000000002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8.2100000000000006E-2</v>
      </c>
    </row>
    <row r="24" spans="1:3" ht="15" customHeight="1" x14ac:dyDescent="0.25">
      <c r="B24" s="15" t="s">
        <v>33</v>
      </c>
      <c r="C24" s="45">
        <v>0.47039999999999998</v>
      </c>
    </row>
    <row r="25" spans="1:3" ht="15" customHeight="1" x14ac:dyDescent="0.25">
      <c r="B25" s="15" t="s">
        <v>34</v>
      </c>
      <c r="C25" s="45">
        <v>0.35039999999999999</v>
      </c>
    </row>
    <row r="26" spans="1:3" ht="15" customHeight="1" x14ac:dyDescent="0.25">
      <c r="B26" s="15" t="s">
        <v>35</v>
      </c>
      <c r="C26" s="45">
        <v>9.7100000000000006E-2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0.35675533525383901</v>
      </c>
    </row>
    <row r="30" spans="1:3" ht="14.25" customHeight="1" x14ac:dyDescent="0.25">
      <c r="B30" s="25" t="s">
        <v>38</v>
      </c>
      <c r="C30" s="99">
        <v>6.5910586704521698E-2</v>
      </c>
    </row>
    <row r="31" spans="1:3" ht="14.25" customHeight="1" x14ac:dyDescent="0.25">
      <c r="B31" s="25" t="s">
        <v>39</v>
      </c>
      <c r="C31" s="99">
        <v>9.262041217609189E-2</v>
      </c>
    </row>
    <row r="32" spans="1:3" ht="14.25" customHeight="1" x14ac:dyDescent="0.25">
      <c r="B32" s="25" t="s">
        <v>40</v>
      </c>
      <c r="C32" s="99">
        <v>0.48471366586554798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17.9214288865677</v>
      </c>
    </row>
    <row r="38" spans="1:5" ht="15" customHeight="1" x14ac:dyDescent="0.25">
      <c r="B38" s="11" t="s">
        <v>45</v>
      </c>
      <c r="C38" s="43">
        <v>32.255544840542598</v>
      </c>
      <c r="D38" s="12"/>
      <c r="E38" s="13"/>
    </row>
    <row r="39" spans="1:5" ht="15" customHeight="1" x14ac:dyDescent="0.25">
      <c r="B39" s="11" t="s">
        <v>46</v>
      </c>
      <c r="C39" s="43">
        <v>41.596757050483902</v>
      </c>
      <c r="D39" s="12"/>
      <c r="E39" s="12"/>
    </row>
    <row r="40" spans="1:5" ht="15" customHeight="1" x14ac:dyDescent="0.25">
      <c r="B40" s="11" t="s">
        <v>47</v>
      </c>
      <c r="C40" s="100">
        <v>1.44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15.228842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3.5325E-3</v>
      </c>
      <c r="D45" s="12"/>
    </row>
    <row r="46" spans="1:5" ht="15.75" customHeight="1" x14ac:dyDescent="0.25">
      <c r="B46" s="11" t="s">
        <v>52</v>
      </c>
      <c r="C46" s="45">
        <v>0.1241304</v>
      </c>
      <c r="D46" s="12"/>
    </row>
    <row r="47" spans="1:5" ht="15.75" customHeight="1" x14ac:dyDescent="0.25">
      <c r="B47" s="11" t="s">
        <v>53</v>
      </c>
      <c r="C47" s="45">
        <v>7.1704699999999996E-2</v>
      </c>
      <c r="D47" s="12"/>
      <c r="E47" s="13"/>
    </row>
    <row r="48" spans="1:5" ht="15" customHeight="1" x14ac:dyDescent="0.25">
      <c r="B48" s="11" t="s">
        <v>54</v>
      </c>
      <c r="C48" s="46">
        <v>0.80063239999999991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0.53242699999999998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0.15632107000000001</v>
      </c>
    </row>
    <row r="63" spans="1:4" ht="15.75" customHeight="1" x14ac:dyDescent="0.3">
      <c r="A63" s="4"/>
    </row>
  </sheetData>
  <sheetProtection algorithmName="SHA-512" hashValue="s7tzD5kqSSgd9nkNOyMCgNvhoEUN9o9N9upsQR5sGLlfV+vhYTpOt58XOTPGq8CVhaOuxDHAiPHUQaw/YfIlVQ==" saltValue="GhiU+Qao+xMdQbPA0N547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</v>
      </c>
      <c r="C2" s="98">
        <v>0.95</v>
      </c>
      <c r="D2" s="56">
        <v>75.762459741294762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40.277595090905891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692.41497754805209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1.948123472199554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13.409894534701801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13.409894534701801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13.409894534701801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13.409894534701801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13.409894534701801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13.409894534701801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</v>
      </c>
      <c r="C16" s="98">
        <v>0.95</v>
      </c>
      <c r="D16" s="56">
        <v>1.1166603345971491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0.91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15.87897005630612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15.87897005630612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</v>
      </c>
      <c r="C21" s="98">
        <v>0.95</v>
      </c>
      <c r="D21" s="56">
        <v>16.240204677311851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23.349725533539811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</v>
      </c>
      <c r="C23" s="98">
        <v>0.95</v>
      </c>
      <c r="D23" s="56">
        <v>4.5279095940423639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</v>
      </c>
      <c r="C27" s="98">
        <v>0.95</v>
      </c>
      <c r="D27" s="56">
        <v>18.982269813808941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0.42899999999999999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154.12104998731229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2.5851124882101071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2.4385423103594892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0.77269224784366697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0.86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3.2209000111311989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0.45500000000000002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xm7mPlTBpFsd7VOg+PEHlTpSkZd5Ci0BG0MtiU9m/UBF+39Dp98g1RJN3JnnjzzoXINS2eLJsmi7z8iKFO8LVw==" saltValue="wW107k7iNusp38i+pukXc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NeMuBDUAdEeGtoUuXoLG5s3fLfqQEb8jVv+nRtWtVF7F6ve+i9pqMbrIYirxis25oS6BdjXwRf1d3Xx2tyrNgQ==" saltValue="tVQH2kCeKHU6BoKjqdAhT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knElGeVBYZdnMPjn1DPfMgDL/TpcsAAomURPWL+TlL0X+f5lgYE9vvEoSqNPMbkI6bbZX0ZCc7Xv6ov/UuWv+Q==" saltValue="y5RU/mHXnGi02KLt4ivWG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0.11577400974503183</v>
      </c>
      <c r="C3" s="21">
        <f>frac_mam_1_5months * 2.6</f>
        <v>0.11577400974503183</v>
      </c>
      <c r="D3" s="21">
        <f>frac_mam_6_11months * 2.6</f>
        <v>0.14005940314932697</v>
      </c>
      <c r="E3" s="21">
        <f>frac_mam_12_23months * 2.6</f>
        <v>0.11042457219845687</v>
      </c>
      <c r="F3" s="21">
        <f>frac_mam_24_59months * 2.6</f>
        <v>5.7837219151894527E-2</v>
      </c>
    </row>
    <row r="4" spans="1:6" ht="15.75" customHeight="1" x14ac:dyDescent="0.25">
      <c r="A4" s="3" t="s">
        <v>208</v>
      </c>
      <c r="B4" s="21">
        <f>frac_sam_1month * 2.6</f>
        <v>8.1725145926884984E-2</v>
      </c>
      <c r="C4" s="21">
        <f>frac_sam_1_5months * 2.6</f>
        <v>8.1725145926884984E-2</v>
      </c>
      <c r="D4" s="21">
        <f>frac_sam_6_11months * 2.6</f>
        <v>7.3945575132361926E-2</v>
      </c>
      <c r="E4" s="21">
        <f>frac_sam_12_23months * 2.6</f>
        <v>5.9399106240509099E-2</v>
      </c>
      <c r="F4" s="21">
        <f>frac_sam_24_59months * 2.6</f>
        <v>2.766723567017124E-2</v>
      </c>
    </row>
  </sheetData>
  <sheetProtection algorithmName="SHA-512" hashValue="MqLTPBonOJo0Xp6NzRyrbXgoXygIQiGHFkVxMl7hvuLf4+1etcztqcB9Mmn7W9VOBbTB1E6lexes8E85a5x+ZA==" saltValue="l25VkICGR03FwzyKHSSf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0.161</v>
      </c>
      <c r="E2" s="60">
        <f>food_insecure</f>
        <v>0.161</v>
      </c>
      <c r="F2" s="60">
        <f>food_insecure</f>
        <v>0.161</v>
      </c>
      <c r="G2" s="60">
        <f>food_insecure</f>
        <v>0.161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0.161</v>
      </c>
      <c r="F5" s="60">
        <f>food_insecure</f>
        <v>0.161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0.161</v>
      </c>
      <c r="F8" s="60">
        <f>food_insecure</f>
        <v>0.161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0.161</v>
      </c>
      <c r="F9" s="60">
        <f>food_insecure</f>
        <v>0.161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0.14000000000000001</v>
      </c>
      <c r="E10" s="60">
        <f>IF(ISBLANK(comm_deliv), frac_children_health_facility,1)</f>
        <v>0.14000000000000001</v>
      </c>
      <c r="F10" s="60">
        <f>IF(ISBLANK(comm_deliv), frac_children_health_facility,1)</f>
        <v>0.14000000000000001</v>
      </c>
      <c r="G10" s="60">
        <f>IF(ISBLANK(comm_deliv), frac_children_health_facility,1)</f>
        <v>0.14000000000000001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0.161</v>
      </c>
      <c r="I15" s="60">
        <f>food_insecure</f>
        <v>0.161</v>
      </c>
      <c r="J15" s="60">
        <f>food_insecure</f>
        <v>0.161</v>
      </c>
      <c r="K15" s="60">
        <f>food_insecure</f>
        <v>0.161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0.73299999999999998</v>
      </c>
      <c r="I18" s="60">
        <f>frac_PW_health_facility</f>
        <v>0.73299999999999998</v>
      </c>
      <c r="J18" s="60">
        <f>frac_PW_health_facility</f>
        <v>0.73299999999999998</v>
      </c>
      <c r="K18" s="60">
        <f>frac_PW_health_facility</f>
        <v>0.73299999999999998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0.13</v>
      </c>
      <c r="I19" s="60">
        <f>frac_malaria_risk</f>
        <v>0.13</v>
      </c>
      <c r="J19" s="60">
        <f>frac_malaria_risk</f>
        <v>0.13</v>
      </c>
      <c r="K19" s="60">
        <f>frac_malaria_risk</f>
        <v>0.13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0.52200000000000002</v>
      </c>
      <c r="M24" s="60">
        <f>famplan_unmet_need</f>
        <v>0.52200000000000002</v>
      </c>
      <c r="N24" s="60">
        <f>famplan_unmet_need</f>
        <v>0.52200000000000002</v>
      </c>
      <c r="O24" s="60">
        <f>famplan_unmet_need</f>
        <v>0.52200000000000002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0.35303054385085197</v>
      </c>
      <c r="M25" s="60">
        <f>(1-food_insecure)*(0.49)+food_insecure*(0.7)</f>
        <v>0.52381</v>
      </c>
      <c r="N25" s="60">
        <f>(1-food_insecure)*(0.49)+food_insecure*(0.7)</f>
        <v>0.52381</v>
      </c>
      <c r="O25" s="60">
        <f>(1-food_insecure)*(0.49)+food_insecure*(0.7)</f>
        <v>0.52381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0.15129880450750799</v>
      </c>
      <c r="M26" s="60">
        <f>(1-food_insecure)*(0.21)+food_insecure*(0.3)</f>
        <v>0.22449</v>
      </c>
      <c r="N26" s="60">
        <f>(1-food_insecure)*(0.21)+food_insecure*(0.3)</f>
        <v>0.22449</v>
      </c>
      <c r="O26" s="60">
        <f>(1-food_insecure)*(0.21)+food_insecure*(0.3)</f>
        <v>0.22449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0.16963744084164001</v>
      </c>
      <c r="M27" s="60">
        <f>(1-food_insecure)*(0.3)</f>
        <v>0.25169999999999998</v>
      </c>
      <c r="N27" s="60">
        <f>(1-food_insecure)*(0.3)</f>
        <v>0.25169999999999998</v>
      </c>
      <c r="O27" s="60">
        <f>(1-food_insecure)*(0.3)</f>
        <v>0.25169999999999998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0.13</v>
      </c>
      <c r="D34" s="60">
        <f t="shared" si="3"/>
        <v>0.13</v>
      </c>
      <c r="E34" s="60">
        <f t="shared" si="3"/>
        <v>0.13</v>
      </c>
      <c r="F34" s="60">
        <f t="shared" si="3"/>
        <v>0.13</v>
      </c>
      <c r="G34" s="60">
        <f t="shared" si="3"/>
        <v>0.13</v>
      </c>
      <c r="H34" s="60">
        <f t="shared" si="3"/>
        <v>0.13</v>
      </c>
      <c r="I34" s="60">
        <f t="shared" si="3"/>
        <v>0.13</v>
      </c>
      <c r="J34" s="60">
        <f t="shared" si="3"/>
        <v>0.13</v>
      </c>
      <c r="K34" s="60">
        <f t="shared" si="3"/>
        <v>0.13</v>
      </c>
      <c r="L34" s="60">
        <f t="shared" si="3"/>
        <v>0.13</v>
      </c>
      <c r="M34" s="60">
        <f t="shared" si="3"/>
        <v>0.13</v>
      </c>
      <c r="N34" s="60">
        <f t="shared" si="3"/>
        <v>0.13</v>
      </c>
      <c r="O34" s="60">
        <f t="shared" si="3"/>
        <v>0.13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AfmlhZL3k6WSyfj7oqJoRGYBCeIG+cxm0Srd2KfLODk96iCfzlmKfvKK8URJ6/1+2bfM9N9NJnEwEq+mUg0aA==" saltValue="Y17u8/u2pogCmCNJYH1ri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OByprmUL3nQ1XrARJbkI5Vtbj9cE/cYmeWB1TiI/GPsXuPRoJYiLe/s9+5B7ZNMYtQNu6KLB1eS8c8iTubiBqA==" saltValue="a9B2CGo1p0kHbCS8Vibu5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KFepdYoQ1lSTq4vLh86DZNNbTcJnnbIEuc9G91BGr9TQwqDCtx04hKWw/5gZKlN8lYQtZR+DM5/OIKNfv69YmA==" saltValue="HIn7PnXNKeViO8Lkjdcik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F4Noh2b+1dV49vLY7R42prXqP87f/iImSuFTQPgE6AUwd0F4RdbCbHfZaN96k5TiOs1Pm4wjruX9OeWqdcH+dA==" saltValue="DfHPkruvxWoCcDKU0Zpvm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oibTaEzV+q4GdjF2au1y6OrOjBWuigYSMtLCWv0SQN6d33Wm8YPF/YY84VJgbRzyjKMWHMrGG4fruPRxG3KXww==" saltValue="VKb6OqlM+uhdc77rGiPg/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tjrv+/YQ2l67uOpAEkD6ZgFFPdFmlF98s/IUUe7XAc9M7DW768r5oazW7iNpdJy3FGA/R86gXxEo/DZqGhcyuw==" saltValue="tMWB7f2yGqtkhrqni6Xt9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52125.652800000003</v>
      </c>
      <c r="C2" s="49">
        <v>108000</v>
      </c>
      <c r="D2" s="49">
        <v>214000</v>
      </c>
      <c r="E2" s="49">
        <v>208000</v>
      </c>
      <c r="F2" s="49">
        <v>148000</v>
      </c>
      <c r="G2" s="17">
        <f t="shared" ref="G2:G11" si="0">C2+D2+E2+F2</f>
        <v>678000</v>
      </c>
      <c r="H2" s="17">
        <f t="shared" ref="H2:H11" si="1">(B2 + stillbirth*B2/(1000-stillbirth))/(1-abortion)</f>
        <v>60149.706743986877</v>
      </c>
      <c r="I2" s="17">
        <f t="shared" ref="I2:I11" si="2">G2-H2</f>
        <v>617850.29325601307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51914.128200000006</v>
      </c>
      <c r="C3" s="50">
        <v>109000</v>
      </c>
      <c r="D3" s="50">
        <v>215000</v>
      </c>
      <c r="E3" s="50">
        <v>210000</v>
      </c>
      <c r="F3" s="50">
        <v>156000</v>
      </c>
      <c r="G3" s="17">
        <f t="shared" si="0"/>
        <v>690000</v>
      </c>
      <c r="H3" s="17">
        <f t="shared" si="1"/>
        <v>59905.620733055635</v>
      </c>
      <c r="I3" s="17">
        <f t="shared" si="2"/>
        <v>630094.37926694436</v>
      </c>
    </row>
    <row r="4" spans="1:9" ht="15.75" customHeight="1" x14ac:dyDescent="0.25">
      <c r="A4" s="5">
        <f t="shared" si="3"/>
        <v>2023</v>
      </c>
      <c r="B4" s="49">
        <v>51626.366400000014</v>
      </c>
      <c r="C4" s="50">
        <v>111000</v>
      </c>
      <c r="D4" s="50">
        <v>215000</v>
      </c>
      <c r="E4" s="50">
        <v>211000</v>
      </c>
      <c r="F4" s="50">
        <v>164000</v>
      </c>
      <c r="G4" s="17">
        <f t="shared" si="0"/>
        <v>701000</v>
      </c>
      <c r="H4" s="17">
        <f t="shared" si="1"/>
        <v>59573.56181480029</v>
      </c>
      <c r="I4" s="17">
        <f t="shared" si="2"/>
        <v>641426.43818519975</v>
      </c>
    </row>
    <row r="5" spans="1:9" ht="15.75" customHeight="1" x14ac:dyDescent="0.25">
      <c r="A5" s="5">
        <f t="shared" si="3"/>
        <v>2024</v>
      </c>
      <c r="B5" s="49">
        <v>51324.739200000004</v>
      </c>
      <c r="C5" s="50">
        <v>112000</v>
      </c>
      <c r="D5" s="50">
        <v>215000</v>
      </c>
      <c r="E5" s="50">
        <v>211000</v>
      </c>
      <c r="F5" s="50">
        <v>172000</v>
      </c>
      <c r="G5" s="17">
        <f t="shared" si="0"/>
        <v>710000</v>
      </c>
      <c r="H5" s="17">
        <f t="shared" si="1"/>
        <v>59225.503101835646</v>
      </c>
      <c r="I5" s="17">
        <f t="shared" si="2"/>
        <v>650774.49689816439</v>
      </c>
    </row>
    <row r="6" spans="1:9" ht="15.75" customHeight="1" x14ac:dyDescent="0.25">
      <c r="A6" s="5">
        <f t="shared" si="3"/>
        <v>2025</v>
      </c>
      <c r="B6" s="49">
        <v>50949.474000000002</v>
      </c>
      <c r="C6" s="50">
        <v>114000</v>
      </c>
      <c r="D6" s="50">
        <v>216000</v>
      </c>
      <c r="E6" s="50">
        <v>212000</v>
      </c>
      <c r="F6" s="50">
        <v>178000</v>
      </c>
      <c r="G6" s="17">
        <f t="shared" si="0"/>
        <v>720000</v>
      </c>
      <c r="H6" s="17">
        <f t="shared" si="1"/>
        <v>58792.470793965469</v>
      </c>
      <c r="I6" s="17">
        <f t="shared" si="2"/>
        <v>661207.52920603449</v>
      </c>
    </row>
    <row r="7" spans="1:9" ht="15.75" customHeight="1" x14ac:dyDescent="0.25">
      <c r="A7" s="5">
        <f t="shared" si="3"/>
        <v>2026</v>
      </c>
      <c r="B7" s="49">
        <v>50817.1538</v>
      </c>
      <c r="C7" s="50">
        <v>117000</v>
      </c>
      <c r="D7" s="50">
        <v>217000</v>
      </c>
      <c r="E7" s="50">
        <v>212000</v>
      </c>
      <c r="F7" s="50">
        <v>184000</v>
      </c>
      <c r="G7" s="17">
        <f t="shared" si="0"/>
        <v>730000</v>
      </c>
      <c r="H7" s="17">
        <f t="shared" si="1"/>
        <v>58639.781651503428</v>
      </c>
      <c r="I7" s="17">
        <f t="shared" si="2"/>
        <v>671360.21834849659</v>
      </c>
    </row>
    <row r="8" spans="1:9" ht="15.75" customHeight="1" x14ac:dyDescent="0.25">
      <c r="A8" s="5">
        <f t="shared" si="3"/>
        <v>2027</v>
      </c>
      <c r="B8" s="49">
        <v>50620.957999999991</v>
      </c>
      <c r="C8" s="50">
        <v>119000</v>
      </c>
      <c r="D8" s="50">
        <v>218000</v>
      </c>
      <c r="E8" s="50">
        <v>214000</v>
      </c>
      <c r="F8" s="50">
        <v>190000</v>
      </c>
      <c r="G8" s="17">
        <f t="shared" si="0"/>
        <v>741000</v>
      </c>
      <c r="H8" s="17">
        <f t="shared" si="1"/>
        <v>58413.384106331534</v>
      </c>
      <c r="I8" s="17">
        <f t="shared" si="2"/>
        <v>682586.6158936685</v>
      </c>
    </row>
    <row r="9" spans="1:9" ht="15.75" customHeight="1" x14ac:dyDescent="0.25">
      <c r="A9" s="5">
        <f t="shared" si="3"/>
        <v>2028</v>
      </c>
      <c r="B9" s="49">
        <v>50399.868599999987</v>
      </c>
      <c r="C9" s="50">
        <v>122000</v>
      </c>
      <c r="D9" s="50">
        <v>219000</v>
      </c>
      <c r="E9" s="50">
        <v>214000</v>
      </c>
      <c r="F9" s="50">
        <v>195000</v>
      </c>
      <c r="G9" s="17">
        <f t="shared" si="0"/>
        <v>750000</v>
      </c>
      <c r="H9" s="17">
        <f t="shared" si="1"/>
        <v>58158.260921107765</v>
      </c>
      <c r="I9" s="17">
        <f t="shared" si="2"/>
        <v>691841.73907889228</v>
      </c>
    </row>
    <row r="10" spans="1:9" ht="15.75" customHeight="1" x14ac:dyDescent="0.25">
      <c r="A10" s="5">
        <f t="shared" si="3"/>
        <v>2029</v>
      </c>
      <c r="B10" s="49">
        <v>50153.885599999987</v>
      </c>
      <c r="C10" s="50">
        <v>125000</v>
      </c>
      <c r="D10" s="50">
        <v>221000</v>
      </c>
      <c r="E10" s="50">
        <v>215000</v>
      </c>
      <c r="F10" s="50">
        <v>199000</v>
      </c>
      <c r="G10" s="17">
        <f t="shared" si="0"/>
        <v>760000</v>
      </c>
      <c r="H10" s="17">
        <f t="shared" si="1"/>
        <v>57874.412095832122</v>
      </c>
      <c r="I10" s="17">
        <f t="shared" si="2"/>
        <v>702125.58790416783</v>
      </c>
    </row>
    <row r="11" spans="1:9" ht="15.75" customHeight="1" x14ac:dyDescent="0.25">
      <c r="A11" s="5">
        <f t="shared" si="3"/>
        <v>2030</v>
      </c>
      <c r="B11" s="49">
        <v>49865.2</v>
      </c>
      <c r="C11" s="50">
        <v>126000</v>
      </c>
      <c r="D11" s="50">
        <v>223000</v>
      </c>
      <c r="E11" s="50">
        <v>215000</v>
      </c>
      <c r="F11" s="50">
        <v>202000</v>
      </c>
      <c r="G11" s="17">
        <f t="shared" si="0"/>
        <v>766000</v>
      </c>
      <c r="H11" s="17">
        <f t="shared" si="1"/>
        <v>57541.287170800751</v>
      </c>
      <c r="I11" s="17">
        <f t="shared" si="2"/>
        <v>708458.71282919927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ccgcBpw2Z023ORZvilnIMqjSy6fTD3FcIwWkNVpf3B3OyI5RxMsToY8/4Y67tlPN9jHrM6wU1fbbxuntD2zjWg==" saltValue="R1lMaELXNSeKfbe8TFKZH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2.4823130313981361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2.4823130313981361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1.8923038329138473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1.8923038329138473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1.979385395745197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1.979385395745197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1.5895578896037921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1.5895578896037921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3.0381804181724363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3.0381804181724363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2.2269177702565401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2.2269177702565401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5ELX0z/ag4DIcAltw58WsK5/g2TGYi2mSY2+2u3IBbbj28xLx1JKobAl+OXRSZ0LeBxwqaMC4u1D6E5MLq8o+A==" saltValue="/NAT3X+J1F/pGXiDUvL/w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XtGL8UyEly2xEKlctyX3YnfGAbVoabyuUu481xzp3JjUz2TnpTcJPBaERTdiyaNnWkEQkDFNumaPUz6IlsTWqA==" saltValue="2E9qpCVGdA7AUmfMNu4JL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yILkno8/DIloFBkUSVQR+l/3QKp0+BU2JxCpTNLk/pfo7MbGOHhMSk8InTF5A16ac5n4cfjcJIZkj8Q1qQPL5A==" saltValue="4d3F68TJDgi3HgqmJzU6z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0.57915697876986882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0.57915697876986882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0.85022663453284564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0.85022663453284564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0.85022663453284564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0.85022663453284564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0.37819595706664938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0.37819595706664938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0.81435355438001211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0.81435355438001211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0.81435355438001211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0.81435355438001211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0.89901217015611046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0.89901217015611046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0.88671174504224981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0.88671174504224981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0.88671174504224981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0.88671174504224981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ypBMP5HVKsOG4szUoPjWgQOBoT4zCJeIU0sPHbZILjqvEpn1oWQCgaE+Jo+0GtC/BiObFR6UgdchzAMJG/F10A==" saltValue="n5pzQ4ZDw6Tbeh0XIzqvp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zaC54on+R2LJaGqUrfI+ERlmcLp36Uwpb44xY3dRI1CBVDa8/otJy6o7I0QVIOmDhsLdgeO6NZyOTxVCpB1Yhg==" saltValue="knoNNeUEaRCqSWo16MR5d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0.50703750301165007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0.62000258433890976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0.62000258433890976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0.6292372881355931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0.6292372881355931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0.6292372881355931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0.6292372881355931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0.64285714285714279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0.64285714285714279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0.64285714285714279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0.64285714285714279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0.61538011695922179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0.7173575959726447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0.7173575959726447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0.72527472527472525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0.72527472527472525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0.72527472527472525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0.72527472527472525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0.73684210526315785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0.73684210526315785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0.73684210526315785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0.73684210526315785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0.31952249481292688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0.42688792956374644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0.42688792956374644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0.4365507104360607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0.4365507104360607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0.4365507104360607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0.4365507104360607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0.45107398568019091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0.45107398568019091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0.45107398568019091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0.45107398568019091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0.48275387488957194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0.59685922092414756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0.59685922092414756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0.60629921259842501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0.60629921259842501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0.60629921259842501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0.60629921259842501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0.62025316455696189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0.62025316455696189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0.62025316455696189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0.62025316455696189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0.92822839890697417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0.9535225699324924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0.9535225699324924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0.95523724261414511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0.95523724261414511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0.95523724261414511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0.95523724261414511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0.95768688293370918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0.95768688293370918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0.95768688293370918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0.95768688293370918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0.82142578357015661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0.87947252838484657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0.87947252838484657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0.88358556461001148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0.88358556461001148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0.88358556461001148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0.88358556461001148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0.88950276243093918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0.88950276243093918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0.88950276243093918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0.88950276243093918</v>
      </c>
    </row>
  </sheetData>
  <sheetProtection algorithmName="SHA-512" hashValue="3nNWC+07oDxbujTXKe9R6fFnQjk3sHzXNC6EahWmau+MfnUDwslIxVpy6dmPWKqvJ+Vou9padBxwN3I8+a9OCA==" saltValue="FgxDLSv9F4kALEd61ajaX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0.85611035147308534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0.85648989774549167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0.85719423855679977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0.8587069609552177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0.85442529224401564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0.85319910486589545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0.85469264134283685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0.8572694544050341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0.77049931632577684</v>
      </c>
      <c r="E10" s="90">
        <f>E3*0.9</f>
        <v>0.77084090797094251</v>
      </c>
      <c r="F10" s="90">
        <f>F3*0.9</f>
        <v>0.77147481470111978</v>
      </c>
      <c r="G10" s="90">
        <f>G3*0.9</f>
        <v>0.77283626485969592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0.7689827630196141</v>
      </c>
      <c r="E12" s="90">
        <f>E5*0.9</f>
        <v>0.76787919437930596</v>
      </c>
      <c r="F12" s="90">
        <f>F5*0.9</f>
        <v>0.76922337720855316</v>
      </c>
      <c r="G12" s="90">
        <f>G5*0.9</f>
        <v>0.77154250896453069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0.89891586904673959</v>
      </c>
      <c r="E17" s="90">
        <f>E3*1.05</f>
        <v>0.89931439263276625</v>
      </c>
      <c r="F17" s="90">
        <f>F3*1.05</f>
        <v>0.90005395048463976</v>
      </c>
      <c r="G17" s="90">
        <f>G3*1.05</f>
        <v>0.90164230900297859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0.89714655685621647</v>
      </c>
      <c r="E19" s="90">
        <f>E5*1.05</f>
        <v>0.89585906010919025</v>
      </c>
      <c r="F19" s="90">
        <f>F5*1.05</f>
        <v>0.89742727340997874</v>
      </c>
      <c r="G19" s="90">
        <f>G5*1.05</f>
        <v>0.90013292712528581</v>
      </c>
    </row>
  </sheetData>
  <sheetProtection algorithmName="SHA-512" hashValue="RLSgMHdWMFSXY8xHfNVZCUNTPwB69V1atOrgRb7GzRjVJ5Wfc371zm0KstOd/r9vo5MPdph2faeH7J6P3naOMQ==" saltValue="zwn5XsplSiy9siaJNmD3H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c3kh0HfTEJLn9Tb169yh3rdRSkKVsJ3lwcbFUqfZjnVF85QJ8rjAFtauRxEdh6v3zt4jaBwQQM2hbJRYTKqDnA==" saltValue="0XH6QNjLZXtA6SWQynvBQ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hiFQSi5dH2dTJ06UM3VbrVCm6Z8XVQGg9yOgOLpJAgjPomPc+TRofK0FvPP2tuRGMF6oSzFBcd8kyLRixmWqPQ==" saltValue="YqWcTvyXdhsOApDB7Ocdc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3.7875509608892599E-3</v>
      </c>
    </row>
    <row r="4" spans="1:8" ht="15.75" customHeight="1" x14ac:dyDescent="0.25">
      <c r="B4" s="19" t="s">
        <v>79</v>
      </c>
      <c r="C4" s="101">
        <v>0.13629996490637031</v>
      </c>
    </row>
    <row r="5" spans="1:8" ht="15.75" customHeight="1" x14ac:dyDescent="0.25">
      <c r="B5" s="19" t="s">
        <v>80</v>
      </c>
      <c r="C5" s="101">
        <v>5.7183022236367127E-2</v>
      </c>
    </row>
    <row r="6" spans="1:8" ht="15.75" customHeight="1" x14ac:dyDescent="0.25">
      <c r="B6" s="19" t="s">
        <v>81</v>
      </c>
      <c r="C6" s="101">
        <v>0.22607671947722649</v>
      </c>
    </row>
    <row r="7" spans="1:8" ht="15.75" customHeight="1" x14ac:dyDescent="0.25">
      <c r="B7" s="19" t="s">
        <v>82</v>
      </c>
      <c r="C7" s="101">
        <v>0.37216536790639748</v>
      </c>
    </row>
    <row r="8" spans="1:8" ht="15.75" customHeight="1" x14ac:dyDescent="0.25">
      <c r="B8" s="19" t="s">
        <v>83</v>
      </c>
      <c r="C8" s="101">
        <v>5.2335975922138149E-3</v>
      </c>
    </row>
    <row r="9" spans="1:8" ht="15.75" customHeight="1" x14ac:dyDescent="0.25">
      <c r="B9" s="19" t="s">
        <v>84</v>
      </c>
      <c r="C9" s="101">
        <v>0.1386804267676289</v>
      </c>
    </row>
    <row r="10" spans="1:8" ht="15.75" customHeight="1" x14ac:dyDescent="0.25">
      <c r="B10" s="19" t="s">
        <v>85</v>
      </c>
      <c r="C10" s="101">
        <v>6.0573350152906602E-2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8.6644762106538042E-2</v>
      </c>
      <c r="D14" s="55">
        <v>8.6644762106538042E-2</v>
      </c>
      <c r="E14" s="55">
        <v>8.6644762106538042E-2</v>
      </c>
      <c r="F14" s="55">
        <v>8.6644762106538042E-2</v>
      </c>
    </row>
    <row r="15" spans="1:8" ht="15.75" customHeight="1" x14ac:dyDescent="0.25">
      <c r="B15" s="19" t="s">
        <v>88</v>
      </c>
      <c r="C15" s="101">
        <v>0.13184310683468911</v>
      </c>
      <c r="D15" s="101">
        <v>0.13184310683468911</v>
      </c>
      <c r="E15" s="101">
        <v>0.13184310683468911</v>
      </c>
      <c r="F15" s="101">
        <v>0.13184310683468911</v>
      </c>
    </row>
    <row r="16" spans="1:8" ht="15.75" customHeight="1" x14ac:dyDescent="0.25">
      <c r="B16" s="19" t="s">
        <v>89</v>
      </c>
      <c r="C16" s="101">
        <v>7.4705711489216941E-3</v>
      </c>
      <c r="D16" s="101">
        <v>7.4705711489216941E-3</v>
      </c>
      <c r="E16" s="101">
        <v>7.4705711489216941E-3</v>
      </c>
      <c r="F16" s="101">
        <v>7.4705711489216941E-3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6.0937749677400276E-3</v>
      </c>
      <c r="D19" s="101">
        <v>6.0937749677400276E-3</v>
      </c>
      <c r="E19" s="101">
        <v>6.0937749677400276E-3</v>
      </c>
      <c r="F19" s="101">
        <v>6.0937749677400276E-3</v>
      </c>
    </row>
    <row r="20" spans="1:8" ht="15.75" customHeight="1" x14ac:dyDescent="0.25">
      <c r="B20" s="19" t="s">
        <v>93</v>
      </c>
      <c r="C20" s="101">
        <v>0.38274593137355251</v>
      </c>
      <c r="D20" s="101">
        <v>0.38274593137355251</v>
      </c>
      <c r="E20" s="101">
        <v>0.38274593137355251</v>
      </c>
      <c r="F20" s="101">
        <v>0.38274593137355251</v>
      </c>
    </row>
    <row r="21" spans="1:8" ht="15.75" customHeight="1" x14ac:dyDescent="0.25">
      <c r="B21" s="19" t="s">
        <v>94</v>
      </c>
      <c r="C21" s="101">
        <v>8.8916044326021348E-2</v>
      </c>
      <c r="D21" s="101">
        <v>8.8916044326021348E-2</v>
      </c>
      <c r="E21" s="101">
        <v>8.8916044326021348E-2</v>
      </c>
      <c r="F21" s="101">
        <v>8.8916044326021348E-2</v>
      </c>
    </row>
    <row r="22" spans="1:8" ht="15.75" customHeight="1" x14ac:dyDescent="0.25">
      <c r="B22" s="19" t="s">
        <v>95</v>
      </c>
      <c r="C22" s="101">
        <v>0.29628580924253711</v>
      </c>
      <c r="D22" s="101">
        <v>0.29628580924253711</v>
      </c>
      <c r="E22" s="101">
        <v>0.29628580924253711</v>
      </c>
      <c r="F22" s="101">
        <v>0.29628580924253711</v>
      </c>
    </row>
    <row r="23" spans="1:8" ht="15.75" customHeight="1" x14ac:dyDescent="0.25">
      <c r="B23" s="27" t="s">
        <v>41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4.6309735999999997E-2</v>
      </c>
    </row>
    <row r="27" spans="1:8" ht="15.75" customHeight="1" x14ac:dyDescent="0.25">
      <c r="B27" s="19" t="s">
        <v>102</v>
      </c>
      <c r="C27" s="101">
        <v>2.2410375E-2</v>
      </c>
    </row>
    <row r="28" spans="1:8" ht="15.75" customHeight="1" x14ac:dyDescent="0.25">
      <c r="B28" s="19" t="s">
        <v>103</v>
      </c>
      <c r="C28" s="101">
        <v>0.105751911</v>
      </c>
    </row>
    <row r="29" spans="1:8" ht="15.75" customHeight="1" x14ac:dyDescent="0.25">
      <c r="B29" s="19" t="s">
        <v>104</v>
      </c>
      <c r="C29" s="101">
        <v>0.106714216</v>
      </c>
    </row>
    <row r="30" spans="1:8" ht="15.75" customHeight="1" x14ac:dyDescent="0.25">
      <c r="B30" s="19" t="s">
        <v>2</v>
      </c>
      <c r="C30" s="101">
        <v>5.0717751999999991E-2</v>
      </c>
    </row>
    <row r="31" spans="1:8" ht="15.75" customHeight="1" x14ac:dyDescent="0.25">
      <c r="B31" s="19" t="s">
        <v>105</v>
      </c>
      <c r="C31" s="101">
        <v>9.8186192000000005E-2</v>
      </c>
    </row>
    <row r="32" spans="1:8" ht="15.75" customHeight="1" x14ac:dyDescent="0.25">
      <c r="B32" s="19" t="s">
        <v>106</v>
      </c>
      <c r="C32" s="101">
        <v>3.9065067000000002E-2</v>
      </c>
    </row>
    <row r="33" spans="2:3" ht="15.75" customHeight="1" x14ac:dyDescent="0.25">
      <c r="B33" s="19" t="s">
        <v>107</v>
      </c>
      <c r="C33" s="101">
        <v>9.1384244000000003E-2</v>
      </c>
    </row>
    <row r="34" spans="2:3" ht="15.75" customHeight="1" x14ac:dyDescent="0.25">
      <c r="B34" s="19" t="s">
        <v>108</v>
      </c>
      <c r="C34" s="101">
        <v>0.43946050599999997</v>
      </c>
    </row>
    <row r="35" spans="2:3" ht="15.75" customHeight="1" x14ac:dyDescent="0.25">
      <c r="B35" s="27" t="s">
        <v>41</v>
      </c>
      <c r="C35" s="48">
        <f>SUM(C26:C34)</f>
        <v>0.99999999900000003</v>
      </c>
    </row>
  </sheetData>
  <sheetProtection algorithmName="SHA-512" hashValue="DgZwtOFEPBt8gihYrluucXn/rLi7xmkIOqsV9aTSsyTv7+cF35+8pl3ohyRvGVJP0Te91D6l9geTz3gh6eg0TA==" saltValue="xnFH8gY5lItiwcJlJV15u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0.44339994804804883</v>
      </c>
      <c r="D2" s="52">
        <f>IFERROR(1-_xlfn.NORM.DIST(_xlfn.NORM.INV(SUM(D4:D5), 0, 1) + 1, 0, 1, TRUE), "")</f>
        <v>0.44339994804804883</v>
      </c>
      <c r="E2" s="52">
        <f>IFERROR(1-_xlfn.NORM.DIST(_xlfn.NORM.INV(SUM(E4:E5), 0, 1) + 1, 0, 1, TRUE), "")</f>
        <v>0.40223246743137242</v>
      </c>
      <c r="F2" s="52">
        <f>IFERROR(1-_xlfn.NORM.DIST(_xlfn.NORM.INV(SUM(F4:F5), 0, 1) + 1, 0, 1, TRUE), "")</f>
        <v>0.22821824261850465</v>
      </c>
      <c r="G2" s="52">
        <f>IFERROR(1-_xlfn.NORM.DIST(_xlfn.NORM.INV(SUM(G4:G5), 0, 1) + 1, 0, 1, TRUE), "")</f>
        <v>0.23113465980895531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0.36105589433954116</v>
      </c>
      <c r="D3" s="52">
        <f>IFERROR(_xlfn.NORM.DIST(_xlfn.NORM.INV(SUM(D4:D5), 0, 1) + 1, 0, 1, TRUE) - SUM(D4:D5), "")</f>
        <v>0.36105589433954116</v>
      </c>
      <c r="E3" s="52">
        <f>IFERROR(_xlfn.NORM.DIST(_xlfn.NORM.INV(SUM(E4:E5), 0, 1) + 1, 0, 1, TRUE) - SUM(E4:E5), "")</f>
        <v>0.37187042634075879</v>
      </c>
      <c r="F3" s="52">
        <f>IFERROR(_xlfn.NORM.DIST(_xlfn.NORM.INV(SUM(F4:F5), 0, 1) + 1, 0, 1, TRUE) - SUM(F4:F5), "")</f>
        <v>0.37252544728797632</v>
      </c>
      <c r="G3" s="52">
        <f>IFERROR(_xlfn.NORM.DIST(_xlfn.NORM.INV(SUM(G4:G5), 0, 1) + 1, 0, 1, TRUE) - SUM(G4:G5), "")</f>
        <v>0.37331622455409669</v>
      </c>
    </row>
    <row r="4" spans="1:15" ht="15.75" customHeight="1" x14ac:dyDescent="0.25">
      <c r="B4" s="5" t="s">
        <v>114</v>
      </c>
      <c r="C4" s="45">
        <v>0.111821104322815</v>
      </c>
      <c r="D4" s="53">
        <v>0.111821104322815</v>
      </c>
      <c r="E4" s="53">
        <v>0.136931886472626</v>
      </c>
      <c r="F4" s="53">
        <v>0.23012910700230901</v>
      </c>
      <c r="G4" s="53">
        <v>0.23836211918613001</v>
      </c>
    </row>
    <row r="5" spans="1:15" ht="15.75" customHeight="1" x14ac:dyDescent="0.25">
      <c r="B5" s="5" t="s">
        <v>115</v>
      </c>
      <c r="C5" s="45">
        <v>8.3723053289595006E-2</v>
      </c>
      <c r="D5" s="53">
        <v>8.3723053289595006E-2</v>
      </c>
      <c r="E5" s="53">
        <v>8.8965219755242797E-2</v>
      </c>
      <c r="F5" s="53">
        <v>0.16912720309120999</v>
      </c>
      <c r="G5" s="53">
        <v>0.15718699645081799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0.66741052631599818</v>
      </c>
      <c r="D8" s="52">
        <f>IFERROR(1-_xlfn.NORM.DIST(_xlfn.NORM.INV(SUM(D10:D11), 0, 1) + 1, 0, 1, TRUE), "")</f>
        <v>0.66741052631599818</v>
      </c>
      <c r="E8" s="52">
        <f>IFERROR(1-_xlfn.NORM.DIST(_xlfn.NORM.INV(SUM(E10:E11), 0, 1) + 1, 0, 1, TRUE), "")</f>
        <v>0.65162175209524664</v>
      </c>
      <c r="F8" s="52">
        <f>IFERROR(1-_xlfn.NORM.DIST(_xlfn.NORM.INV(SUM(F10:F11), 0, 1) + 1, 0, 1, TRUE), "")</f>
        <v>0.69553733000498186</v>
      </c>
      <c r="G8" s="52">
        <f>IFERROR(1-_xlfn.NORM.DIST(_xlfn.NORM.INV(SUM(G10:G11), 0, 1) + 1, 0, 1, TRUE), "")</f>
        <v>0.79953736632770112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0.25662825996403382</v>
      </c>
      <c r="D9" s="52">
        <f>IFERROR(_xlfn.NORM.DIST(_xlfn.NORM.INV(SUM(D10:D11), 0, 1) + 1, 0, 1, TRUE) - SUM(D10:D11), "")</f>
        <v>0.25662825996403382</v>
      </c>
      <c r="E9" s="52">
        <f>IFERROR(_xlfn.NORM.DIST(_xlfn.NORM.INV(SUM(E10:E11), 0, 1) + 1, 0, 1, TRUE) - SUM(E10:E11), "")</f>
        <v>0.26606864087333459</v>
      </c>
      <c r="F9" s="52">
        <f>IFERROR(_xlfn.NORM.DIST(_xlfn.NORM.INV(SUM(F10:F11), 0, 1) + 1, 0, 1, TRUE) - SUM(F10:F11), "")</f>
        <v>0.23914587059541584</v>
      </c>
      <c r="G9" s="52">
        <f>IFERROR(_xlfn.NORM.DIST(_xlfn.NORM.INV(SUM(G10:G11), 0, 1) + 1, 0, 1, TRUE) - SUM(G10:G11), "")</f>
        <v>0.16757630489458131</v>
      </c>
    </row>
    <row r="10" spans="1:15" ht="15.75" customHeight="1" x14ac:dyDescent="0.25">
      <c r="B10" s="5" t="s">
        <v>119</v>
      </c>
      <c r="C10" s="45">
        <v>4.4528465286550703E-2</v>
      </c>
      <c r="D10" s="53">
        <v>4.4528465286550703E-2</v>
      </c>
      <c r="E10" s="53">
        <v>5.3869001211279598E-2</v>
      </c>
      <c r="F10" s="53">
        <v>4.2470989307098798E-2</v>
      </c>
      <c r="G10" s="53">
        <v>2.2245084289190201E-2</v>
      </c>
    </row>
    <row r="11" spans="1:15" ht="15.75" customHeight="1" x14ac:dyDescent="0.25">
      <c r="B11" s="5" t="s">
        <v>120</v>
      </c>
      <c r="C11" s="45">
        <v>3.1432748433417299E-2</v>
      </c>
      <c r="D11" s="53">
        <v>3.1432748433417299E-2</v>
      </c>
      <c r="E11" s="53">
        <v>2.84406058201392E-2</v>
      </c>
      <c r="F11" s="53">
        <v>2.2845810092503499E-2</v>
      </c>
      <c r="G11" s="53">
        <v>1.06412444885274E-2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0.62072485924999998</v>
      </c>
      <c r="D14" s="54">
        <v>0.60000760225000005</v>
      </c>
      <c r="E14" s="54">
        <v>0.60000760225000005</v>
      </c>
      <c r="F14" s="54">
        <v>0.365490115999</v>
      </c>
      <c r="G14" s="54">
        <v>0.365490115999</v>
      </c>
      <c r="H14" s="45">
        <v>0.34</v>
      </c>
      <c r="I14" s="55">
        <v>0.34</v>
      </c>
      <c r="J14" s="55">
        <v>0.34</v>
      </c>
      <c r="K14" s="55">
        <v>0.34</v>
      </c>
      <c r="L14" s="45">
        <v>0.3</v>
      </c>
      <c r="M14" s="55">
        <v>0.3</v>
      </c>
      <c r="N14" s="55">
        <v>0.3</v>
      </c>
      <c r="O14" s="55">
        <v>0.3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0.33049067463589971</v>
      </c>
      <c r="D15" s="52">
        <f t="shared" si="0"/>
        <v>0.31946024764316078</v>
      </c>
      <c r="E15" s="52">
        <f t="shared" si="0"/>
        <v>0.31946024764316078</v>
      </c>
      <c r="F15" s="52">
        <f t="shared" si="0"/>
        <v>0.19459680599099957</v>
      </c>
      <c r="G15" s="52">
        <f t="shared" si="0"/>
        <v>0.19459680599099957</v>
      </c>
      <c r="H15" s="52">
        <f t="shared" si="0"/>
        <v>0.18102518000000001</v>
      </c>
      <c r="I15" s="52">
        <f t="shared" si="0"/>
        <v>0.18102518000000001</v>
      </c>
      <c r="J15" s="52">
        <f t="shared" si="0"/>
        <v>0.18102518000000001</v>
      </c>
      <c r="K15" s="52">
        <f t="shared" si="0"/>
        <v>0.18102518000000001</v>
      </c>
      <c r="L15" s="52">
        <f t="shared" si="0"/>
        <v>0.15972809999999998</v>
      </c>
      <c r="M15" s="52">
        <f t="shared" si="0"/>
        <v>0.15972809999999998</v>
      </c>
      <c r="N15" s="52">
        <f t="shared" si="0"/>
        <v>0.15972809999999998</v>
      </c>
      <c r="O15" s="52">
        <f t="shared" si="0"/>
        <v>0.15972809999999998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FxrzEGqQYSkDLbrlzy9yEkmvy2ZBxO23oYd9UL6no2Hyd2ckigdHcMo7+WrUWo6+ZhP4yIg1O2oPO5KlckJavw==" saltValue="/oXaRUGw8guBwVD3a+Eq2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0.62221205093785004</v>
      </c>
      <c r="D2" s="53">
        <v>0.37241107866666701</v>
      </c>
      <c r="E2" s="53"/>
      <c r="F2" s="53"/>
      <c r="G2" s="53"/>
    </row>
    <row r="3" spans="1:7" x14ac:dyDescent="0.25">
      <c r="B3" s="3" t="s">
        <v>130</v>
      </c>
      <c r="C3" s="53">
        <v>0.20359075312680699</v>
      </c>
      <c r="D3" s="53">
        <v>0.21027029933333299</v>
      </c>
      <c r="E3" s="53"/>
      <c r="F3" s="53"/>
      <c r="G3" s="53"/>
    </row>
    <row r="4" spans="1:7" x14ac:dyDescent="0.25">
      <c r="B4" s="3" t="s">
        <v>131</v>
      </c>
      <c r="C4" s="53">
        <v>0.13437244141764701</v>
      </c>
      <c r="D4" s="53">
        <v>0.36252068333333298</v>
      </c>
      <c r="E4" s="53">
        <v>0.88757533497280505</v>
      </c>
      <c r="F4" s="53">
        <v>0.62121049563089992</v>
      </c>
      <c r="G4" s="53"/>
    </row>
    <row r="5" spans="1:7" x14ac:dyDescent="0.25">
      <c r="B5" s="3" t="s">
        <v>132</v>
      </c>
      <c r="C5" s="52">
        <v>3.9824759505240899E-2</v>
      </c>
      <c r="D5" s="52">
        <v>5.4797932049902902E-2</v>
      </c>
      <c r="E5" s="52">
        <f>1-SUM(E2:E4)</f>
        <v>0.11242466502719495</v>
      </c>
      <c r="F5" s="52">
        <f>1-SUM(F2:F4)</f>
        <v>0.37878950436910008</v>
      </c>
      <c r="G5" s="52">
        <f>1-SUM(G2:G4)</f>
        <v>1</v>
      </c>
    </row>
  </sheetData>
  <sheetProtection algorithmName="SHA-512" hashValue="s+96vAqrc73u2m+lW1vBsI9/KB/1O7oRS6T6rnLz3w+h3HV1t9e/X9ifo8nD2n/X+b5Y8DVbKJqcpp/4Kt7Bzw==" saltValue="eb7z3P8vkl13HdaE3C4m8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qJWk3xgv0sMkQCFpAejsq1hIrzHyxWUvPYHmU2NdJHWWXk/fqbFtA2XYpm6Z6ICDt/peVDOOHgfPSwP/hRMCFQ==" saltValue="6jT0xioCtM6s7CryBIYse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QXUQCtJUt1AHwspRhftpU2clxAsAkKme3Sk7MPjV544EYzh5eoAZ8OVRr+kYyjYgfLsU0QaZXgT0SAZ5NEQ4XA==" saltValue="dD4FnJ508Rgweb2XZvy4d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zRBYUCJvpxTJ8+vAa3YvIxV3XJ88dCe2Mv75xmeB1ncbMqdtsqsLBKC8H/Yn7m+ltyLWxfP/a/OPElcUWcMckg==" saltValue="5L2eWrddLKnbC8mCrV2ZJ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4Wu7GdEdvQfGc6vpCWh3DzXlJRO/o2xi4he34iuLU7E/Bi8RYB2+A1fgVCjs1X+/WA5GIxvTOcJeKshO9KRBUg==" saltValue="6rjN5UUo3eagxchMeLViO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2024-03-15T02:49:46Z</dcterms:modified>
</cp:coreProperties>
</file>